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G.Diller\Desktop\"/>
    </mc:Choice>
  </mc:AlternateContent>
  <xr:revisionPtr revIDLastSave="0" documentId="13_ncr:1_{2A274ADA-D9D8-4998-8F55-F31BE35CB872}" xr6:coauthVersionLast="40" xr6:coauthVersionMax="40" xr10:uidLastSave="{00000000-0000-0000-0000-000000000000}"/>
  <bookViews>
    <workbookView minimized="1" xWindow="2055" yWindow="1380" windowWidth="18780" windowHeight="9885" tabRatio="474" activeTab="2" xr2:uid="{00000000-000D-0000-FFFF-FFFF00000000}"/>
  </bookViews>
  <sheets>
    <sheet name="ВЖ" sheetId="1" r:id="rId1"/>
    <sheet name="РОЛЛО" sheetId="3" r:id="rId2"/>
    <sheet name="ЗЕБРА" sheetId="2" r:id="rId3"/>
    <sheet name="РИМСКИЕ" sheetId="4" r:id="rId4"/>
    <sheet name="ЯПОНСКИЕ" sheetId="5" r:id="rId5"/>
  </sheets>
  <externalReferences>
    <externalReference r:id="rId6"/>
    <externalReference r:id="rId7"/>
    <externalReference r:id="rId8"/>
  </externalReferences>
  <definedNames>
    <definedName name="ВЖ" localSheetId="2">'[1]не трогать'!$E$2:$E$82</definedName>
    <definedName name="ВЖ" localSheetId="3">'[1]не трогать'!$E$2:$E$82</definedName>
    <definedName name="ВЖ" localSheetId="1">'[1]не трогать'!$E$2:$E$82</definedName>
    <definedName name="ВЖ" localSheetId="4">'[1]не трогать'!$E$2:$E$82</definedName>
    <definedName name="ВЖ">'[2]не трогать'!$E$2:$E$82</definedName>
    <definedName name="ГЖ" localSheetId="2">'[1]не трогать'!$B$2:$B$52</definedName>
    <definedName name="ГЖ" localSheetId="3">'[1]не трогать'!$B$2:$B$52</definedName>
    <definedName name="ГЖ" localSheetId="1">'[1]не трогать'!$B$2:$B$52</definedName>
    <definedName name="ГЖ" localSheetId="4">'[1]не трогать'!$B$2:$B$52</definedName>
    <definedName name="ГЖ">'[2]не трогать'!$B$2:$B$52</definedName>
    <definedName name="Лента" localSheetId="2">'[1]не трогать'!$B$2:$C$52</definedName>
    <definedName name="Лента" localSheetId="3">'[1]не трогать'!$B$2:$C$52</definedName>
    <definedName name="Лента" localSheetId="1">'[1]не трогать'!$B$2:$C$52</definedName>
    <definedName name="Лента" localSheetId="4">'[1]не трогать'!$B$2:$C$52</definedName>
    <definedName name="Лента">'[2]не трогать'!$B$2:$C$52</definedName>
    <definedName name="пластикВЖ" localSheetId="2">'[1]не трогать'!$T$2:$U$18</definedName>
    <definedName name="пластикВЖ" localSheetId="3">'[1]не трогать'!$T$2:$U$18</definedName>
    <definedName name="пластикВЖ" localSheetId="1">'[1]не трогать'!$T$2:$U$18</definedName>
    <definedName name="пластикВЖ" localSheetId="4">'[1]не трогать'!$T$2:$U$18</definedName>
    <definedName name="пластикВЖ">'[2]не трогать'!$T$2:$U$18</definedName>
    <definedName name="тканьбриз" localSheetId="2">'[1]не трогать'!$N$2:$O$10</definedName>
    <definedName name="тканьбриз" localSheetId="3">'[1]не трогать'!$N$2:$O$10</definedName>
    <definedName name="тканьбриз" localSheetId="1">'[1]не трогать'!$N$2:$O$10</definedName>
    <definedName name="тканьбриз" localSheetId="4">'[1]не трогать'!$N$2:$O$10</definedName>
    <definedName name="тканьбриз">'[2]не трогать'!$N$2:$O$10</definedName>
    <definedName name="ТканьВЖ" localSheetId="2">'[1]не трогать'!$E$2:$F$82</definedName>
    <definedName name="ТканьВЖ" localSheetId="3">'[1]не трогать'!$E$2:$F$82</definedName>
    <definedName name="ТканьВЖ" localSheetId="1">'[1]не трогать'!$E$2:$F$82</definedName>
    <definedName name="ТканьВЖ" localSheetId="4">'[1]не трогать'!$E$2:$F$82</definedName>
    <definedName name="ТканьВЖ">'[2]не трогать'!$E$2:$F$82</definedName>
    <definedName name="флажок" localSheetId="2">'[1]не трогать'!$B$64:$C$70</definedName>
    <definedName name="флажок" localSheetId="3">'[1]не трогать'!$B$64:$C$70</definedName>
    <definedName name="флажок" localSheetId="1">'[1]не трогать'!$B$64:$C$70</definedName>
    <definedName name="флажок" localSheetId="4">'[1]не трогать'!$B$64:$C$70</definedName>
    <definedName name="флажок">'[2]не трогать'!$B$64:$C$70</definedName>
  </definedNames>
  <calcPr calcId="181029" refMode="R1C1"/>
</workbook>
</file>

<file path=xl/calcChain.xml><?xml version="1.0" encoding="utf-8"?>
<calcChain xmlns="http://schemas.openxmlformats.org/spreadsheetml/2006/main">
  <c r="X29" i="5" l="1"/>
  <c r="Y29" i="5" s="1"/>
  <c r="Z29" i="5" l="1"/>
  <c r="V90" i="5"/>
  <c r="T90" i="5"/>
  <c r="R90" i="5"/>
  <c r="P90" i="5"/>
  <c r="N90" i="5"/>
  <c r="L90" i="5"/>
  <c r="J90" i="5"/>
  <c r="H90" i="5"/>
  <c r="F90" i="5"/>
  <c r="D90" i="5"/>
  <c r="W90" i="5"/>
  <c r="U90" i="5"/>
  <c r="S90" i="5"/>
  <c r="Q90" i="5"/>
  <c r="O90" i="5"/>
  <c r="M90" i="5"/>
  <c r="K90" i="5"/>
  <c r="I90" i="5"/>
  <c r="G90" i="5"/>
  <c r="E90" i="5"/>
  <c r="C90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F49" i="5"/>
  <c r="I49" i="5"/>
  <c r="C49" i="5"/>
  <c r="P39" i="5"/>
  <c r="R39" i="5" s="1"/>
  <c r="P37" i="5"/>
  <c r="R37" i="5" s="1"/>
  <c r="P35" i="5"/>
  <c r="R35" i="5" s="1"/>
  <c r="P33" i="5"/>
  <c r="R33" i="5" s="1"/>
  <c r="P31" i="5"/>
  <c r="R31" i="5" s="1"/>
  <c r="P29" i="5"/>
  <c r="R29" i="5" s="1"/>
  <c r="P26" i="5"/>
  <c r="R26" i="5" s="1"/>
  <c r="X24" i="5"/>
  <c r="P24" i="5"/>
  <c r="R24" i="5" s="1"/>
  <c r="X22" i="5"/>
  <c r="X34" i="5" s="1"/>
  <c r="Y34" i="5" s="1"/>
  <c r="P22" i="5"/>
  <c r="R22" i="5" s="1"/>
  <c r="X21" i="5"/>
  <c r="AE32" i="5" s="1"/>
  <c r="X20" i="5"/>
  <c r="AD32" i="5" s="1"/>
  <c r="X19" i="5"/>
  <c r="AC32" i="5" s="1"/>
  <c r="P19" i="5"/>
  <c r="R19" i="5" s="1"/>
  <c r="X17" i="5"/>
  <c r="Y17" i="5" s="1"/>
  <c r="P17" i="5"/>
  <c r="R17" i="5" s="1"/>
  <c r="X16" i="5"/>
  <c r="AC30" i="5" s="1"/>
  <c r="X30" i="5" s="1"/>
  <c r="Y30" i="5" s="1"/>
  <c r="Y28" i="5" s="1"/>
  <c r="P15" i="5"/>
  <c r="R15" i="5" s="1"/>
  <c r="P13" i="5"/>
  <c r="R13" i="5" s="1"/>
  <c r="Z34" i="5" l="1"/>
  <c r="AA34" i="5" s="1"/>
  <c r="X32" i="5"/>
  <c r="Z32" i="5" s="1"/>
  <c r="AA32" i="5" s="1"/>
  <c r="Z30" i="5"/>
  <c r="AA30" i="5" s="1"/>
  <c r="X28" i="5"/>
  <c r="X33" i="5"/>
  <c r="Y33" i="5" s="1"/>
  <c r="AA29" i="5"/>
  <c r="Y32" i="5" l="1"/>
  <c r="Z28" i="5"/>
  <c r="Z33" i="5"/>
  <c r="AA33" i="5" s="1"/>
  <c r="X31" i="5"/>
  <c r="Y31" i="5" s="1"/>
  <c r="AA28" i="5"/>
  <c r="Z31" i="5" l="1"/>
  <c r="AA31" i="5" s="1"/>
  <c r="S19" i="1" l="1"/>
  <c r="R28" i="1" s="1"/>
  <c r="Z28" i="2" l="1"/>
  <c r="R25" i="1"/>
  <c r="T25" i="1" s="1"/>
  <c r="Y55" i="4" l="1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R39" i="4"/>
  <c r="R37" i="4"/>
  <c r="R35" i="4"/>
  <c r="R33" i="4"/>
  <c r="R31" i="4"/>
  <c r="R29" i="4"/>
  <c r="R26" i="4"/>
  <c r="R24" i="4"/>
  <c r="R22" i="4"/>
  <c r="X20" i="4"/>
  <c r="R19" i="4"/>
  <c r="R17" i="4"/>
  <c r="X16" i="4"/>
  <c r="AE26" i="4" s="1"/>
  <c r="AD26" i="4" s="1"/>
  <c r="AD27" i="4" s="1"/>
  <c r="X15" i="4"/>
  <c r="R15" i="4"/>
  <c r="R13" i="4"/>
  <c r="AC24" i="4"/>
  <c r="AC26" i="4" l="1"/>
  <c r="X26" i="4" s="1"/>
  <c r="Z26" i="4" s="1"/>
  <c r="AC25" i="4"/>
  <c r="AC27" i="4"/>
  <c r="X27" i="4" s="1"/>
  <c r="Z27" i="4" s="1"/>
  <c r="AE24" i="4"/>
  <c r="AD24" i="4" s="1"/>
  <c r="AD25" i="4" s="1"/>
  <c r="X24" i="4" l="1"/>
  <c r="Z24" i="4" s="1"/>
  <c r="X25" i="4"/>
  <c r="Z25" i="4" s="1"/>
  <c r="Y27" i="4"/>
  <c r="AA27" i="4" s="1"/>
  <c r="Y26" i="4"/>
  <c r="AA26" i="4" s="1"/>
  <c r="Y25" i="4" l="1"/>
  <c r="AA25" i="4" s="1"/>
  <c r="Y24" i="4"/>
  <c r="AA24" i="4" s="1"/>
  <c r="W119" i="3" l="1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M102" i="3"/>
  <c r="L102" i="3"/>
  <c r="K102" i="3"/>
  <c r="J102" i="3"/>
  <c r="I102" i="3"/>
  <c r="H102" i="3"/>
  <c r="G102" i="3"/>
  <c r="F102" i="3"/>
  <c r="E102" i="3"/>
  <c r="D102" i="3"/>
  <c r="C102" i="3"/>
  <c r="M100" i="3"/>
  <c r="L100" i="3"/>
  <c r="K100" i="3"/>
  <c r="J100" i="3"/>
  <c r="I100" i="3"/>
  <c r="H100" i="3"/>
  <c r="G100" i="3"/>
  <c r="F100" i="3"/>
  <c r="E100" i="3"/>
  <c r="D100" i="3"/>
  <c r="C100" i="3"/>
  <c r="M98" i="3"/>
  <c r="L98" i="3"/>
  <c r="K98" i="3"/>
  <c r="J98" i="3"/>
  <c r="I98" i="3"/>
  <c r="H98" i="3"/>
  <c r="G98" i="3"/>
  <c r="F98" i="3"/>
  <c r="E98" i="3"/>
  <c r="D98" i="3"/>
  <c r="C98" i="3"/>
  <c r="M96" i="3"/>
  <c r="L96" i="3"/>
  <c r="K96" i="3"/>
  <c r="J96" i="3"/>
  <c r="I96" i="3"/>
  <c r="H96" i="3"/>
  <c r="G96" i="3"/>
  <c r="F96" i="3"/>
  <c r="E96" i="3"/>
  <c r="D96" i="3"/>
  <c r="C96" i="3"/>
  <c r="M94" i="3"/>
  <c r="L94" i="3"/>
  <c r="K94" i="3"/>
  <c r="J94" i="3"/>
  <c r="I94" i="3"/>
  <c r="H94" i="3"/>
  <c r="G94" i="3"/>
  <c r="F94" i="3"/>
  <c r="E94" i="3"/>
  <c r="D94" i="3"/>
  <c r="C94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Y47" i="3"/>
  <c r="X47" i="3"/>
  <c r="W47" i="3"/>
  <c r="V47" i="3"/>
  <c r="U47" i="3"/>
  <c r="T47" i="3"/>
  <c r="S47" i="3"/>
  <c r="R47" i="3"/>
  <c r="Q47" i="3"/>
  <c r="P47" i="3"/>
  <c r="O47" i="3"/>
  <c r="N47" i="3"/>
  <c r="L47" i="3"/>
  <c r="K47" i="3"/>
  <c r="J47" i="3"/>
  <c r="I47" i="3"/>
  <c r="H47" i="3"/>
  <c r="G47" i="3"/>
  <c r="F47" i="3"/>
  <c r="E47" i="3"/>
  <c r="D47" i="3"/>
  <c r="C47" i="3"/>
  <c r="R39" i="3"/>
  <c r="R37" i="3"/>
  <c r="R35" i="3"/>
  <c r="R33" i="3"/>
  <c r="R31" i="3"/>
  <c r="R29" i="3"/>
  <c r="AE28" i="3"/>
  <c r="AE27" i="3"/>
  <c r="AD27" i="3"/>
  <c r="AE26" i="3"/>
  <c r="R26" i="3"/>
  <c r="R24" i="3"/>
  <c r="AE22" i="3"/>
  <c r="R22" i="3"/>
  <c r="R19" i="3"/>
  <c r="X18" i="3"/>
  <c r="R17" i="3"/>
  <c r="X15" i="3"/>
  <c r="R15" i="3"/>
  <c r="AC22" i="3"/>
  <c r="AD23" i="3" l="1"/>
  <c r="AD25" i="3"/>
  <c r="AD22" i="3"/>
  <c r="X22" i="3" s="1"/>
  <c r="Z22" i="3" s="1"/>
  <c r="AD24" i="3"/>
  <c r="AF25" i="3"/>
  <c r="AE25" i="3" s="1"/>
  <c r="AD26" i="3"/>
  <c r="AD28" i="3"/>
  <c r="M47" i="3"/>
  <c r="R13" i="3"/>
  <c r="AF23" i="3"/>
  <c r="AE23" i="3" s="1"/>
  <c r="AF24" i="3"/>
  <c r="AE24" i="3" s="1"/>
  <c r="AC28" i="3"/>
  <c r="AC26" i="3"/>
  <c r="AC25" i="3"/>
  <c r="AC24" i="3"/>
  <c r="AC23" i="3"/>
  <c r="AC27" i="3"/>
  <c r="X27" i="3" s="1"/>
  <c r="Z27" i="3" s="1"/>
  <c r="X28" i="3" l="1"/>
  <c r="Z28" i="3" s="1"/>
  <c r="X23" i="3"/>
  <c r="X24" i="3"/>
  <c r="X26" i="3"/>
  <c r="Z26" i="3" s="1"/>
  <c r="X25" i="3"/>
  <c r="Y27" i="3"/>
  <c r="AA27" i="3" s="1"/>
  <c r="Y22" i="3"/>
  <c r="AA22" i="3" s="1"/>
  <c r="Y23" i="3" l="1"/>
  <c r="AA23" i="3" s="1"/>
  <c r="Z23" i="3"/>
  <c r="Y25" i="3"/>
  <c r="AA25" i="3" s="1"/>
  <c r="Z25" i="3"/>
  <c r="Y24" i="3"/>
  <c r="AA24" i="3" s="1"/>
  <c r="Z24" i="3"/>
  <c r="Y26" i="3"/>
  <c r="AA26" i="3" s="1"/>
  <c r="Y28" i="3"/>
  <c r="AA28" i="3" s="1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P66" i="2"/>
  <c r="N66" i="2"/>
  <c r="L66" i="2"/>
  <c r="J66" i="2"/>
  <c r="H66" i="2"/>
  <c r="F66" i="2"/>
  <c r="D66" i="2"/>
  <c r="Q66" i="2"/>
  <c r="O66" i="2"/>
  <c r="M66" i="2"/>
  <c r="K66" i="2"/>
  <c r="I66" i="2"/>
  <c r="G66" i="2"/>
  <c r="E66" i="2"/>
  <c r="C66" i="2"/>
  <c r="R58" i="2"/>
  <c r="P58" i="2"/>
  <c r="N58" i="2"/>
  <c r="L58" i="2"/>
  <c r="J58" i="2"/>
  <c r="H58" i="2"/>
  <c r="F58" i="2"/>
  <c r="D58" i="2"/>
  <c r="S58" i="2"/>
  <c r="Q58" i="2"/>
  <c r="O58" i="2"/>
  <c r="M58" i="2"/>
  <c r="K58" i="2"/>
  <c r="I58" i="2"/>
  <c r="G58" i="2"/>
  <c r="E58" i="2"/>
  <c r="C58" i="2"/>
  <c r="R56" i="2"/>
  <c r="P56" i="2"/>
  <c r="N56" i="2"/>
  <c r="L56" i="2"/>
  <c r="J56" i="2"/>
  <c r="H56" i="2"/>
  <c r="F56" i="2"/>
  <c r="D56" i="2"/>
  <c r="S56" i="2"/>
  <c r="Q56" i="2"/>
  <c r="O56" i="2"/>
  <c r="M56" i="2"/>
  <c r="K56" i="2"/>
  <c r="I56" i="2"/>
  <c r="G56" i="2"/>
  <c r="E56" i="2"/>
  <c r="C56" i="2"/>
  <c r="R54" i="2"/>
  <c r="P54" i="2"/>
  <c r="N54" i="2"/>
  <c r="L54" i="2"/>
  <c r="J54" i="2"/>
  <c r="H54" i="2"/>
  <c r="F54" i="2"/>
  <c r="D54" i="2"/>
  <c r="S54" i="2"/>
  <c r="Q54" i="2"/>
  <c r="O54" i="2"/>
  <c r="M54" i="2"/>
  <c r="K54" i="2"/>
  <c r="I54" i="2"/>
  <c r="G54" i="2"/>
  <c r="E54" i="2"/>
  <c r="C54" i="2"/>
  <c r="R52" i="2"/>
  <c r="P52" i="2"/>
  <c r="N52" i="2"/>
  <c r="L52" i="2"/>
  <c r="J52" i="2"/>
  <c r="H52" i="2"/>
  <c r="F52" i="2"/>
  <c r="D52" i="2"/>
  <c r="S52" i="2"/>
  <c r="Q52" i="2"/>
  <c r="O52" i="2"/>
  <c r="M52" i="2"/>
  <c r="K52" i="2"/>
  <c r="I52" i="2"/>
  <c r="G52" i="2"/>
  <c r="E52" i="2"/>
  <c r="C52" i="2"/>
  <c r="P50" i="2"/>
  <c r="N50" i="2"/>
  <c r="L50" i="2"/>
  <c r="J50" i="2"/>
  <c r="H50" i="2"/>
  <c r="F50" i="2"/>
  <c r="D50" i="2"/>
  <c r="S50" i="2"/>
  <c r="R50" i="2"/>
  <c r="Q50" i="2"/>
  <c r="O50" i="2"/>
  <c r="M50" i="2"/>
  <c r="K50" i="2"/>
  <c r="I50" i="2"/>
  <c r="G50" i="2"/>
  <c r="E50" i="2"/>
  <c r="C50" i="2"/>
  <c r="R48" i="2"/>
  <c r="P48" i="2"/>
  <c r="N48" i="2"/>
  <c r="L48" i="2"/>
  <c r="J48" i="2"/>
  <c r="H48" i="2"/>
  <c r="F48" i="2"/>
  <c r="D48" i="2"/>
  <c r="S48" i="2"/>
  <c r="Q48" i="2"/>
  <c r="O48" i="2"/>
  <c r="M48" i="2"/>
  <c r="K48" i="2"/>
  <c r="I48" i="2"/>
  <c r="G48" i="2"/>
  <c r="E48" i="2"/>
  <c r="C48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A30" i="2"/>
  <c r="Z30" i="2"/>
  <c r="N29" i="2"/>
  <c r="AA28" i="2"/>
  <c r="N27" i="2"/>
  <c r="AA26" i="2"/>
  <c r="Z26" i="2"/>
  <c r="N25" i="2"/>
  <c r="AA24" i="2"/>
  <c r="Z24" i="2"/>
  <c r="N23" i="2"/>
  <c r="N20" i="2"/>
  <c r="T19" i="2"/>
  <c r="T16" i="2"/>
  <c r="N16" i="2"/>
  <c r="N14" i="2"/>
  <c r="Y24" i="2" l="1"/>
  <c r="Y28" i="2" s="1"/>
  <c r="T27" i="2" s="1"/>
  <c r="V27" i="2" s="1"/>
  <c r="N18" i="2"/>
  <c r="Y26" i="2" l="1"/>
  <c r="T25" i="2" s="1"/>
  <c r="T23" i="2"/>
  <c r="Y30" i="2"/>
  <c r="U27" i="2"/>
  <c r="W27" i="2" s="1"/>
  <c r="U23" i="2" l="1"/>
  <c r="W23" i="2" s="1"/>
  <c r="V23" i="2"/>
  <c r="T29" i="2"/>
  <c r="V29" i="2" s="1"/>
  <c r="U25" i="2"/>
  <c r="W25" i="2" s="1"/>
  <c r="V25" i="2"/>
  <c r="M16" i="1"/>
  <c r="M17" i="1"/>
  <c r="M18" i="1"/>
  <c r="M19" i="1"/>
  <c r="M20" i="1"/>
  <c r="M15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D36" i="1"/>
  <c r="E36" i="1"/>
  <c r="F36" i="1"/>
  <c r="G36" i="1"/>
  <c r="H36" i="1"/>
  <c r="I36" i="1"/>
  <c r="J36" i="1"/>
  <c r="K36" i="1"/>
  <c r="L36" i="1"/>
  <c r="M36" i="1"/>
  <c r="N36" i="1"/>
  <c r="C36" i="1"/>
  <c r="C26" i="1"/>
  <c r="D26" i="1"/>
  <c r="E26" i="1"/>
  <c r="F26" i="1"/>
  <c r="G26" i="1"/>
  <c r="H26" i="1"/>
  <c r="I26" i="1"/>
  <c r="J26" i="1"/>
  <c r="K26" i="1"/>
  <c r="L26" i="1"/>
  <c r="M26" i="1"/>
  <c r="N26" i="1"/>
  <c r="U29" i="2" l="1"/>
  <c r="W29" i="2" s="1"/>
  <c r="S22" i="1"/>
  <c r="S20" i="1"/>
  <c r="S18" i="1"/>
  <c r="S16" i="1"/>
  <c r="R26" i="1" l="1"/>
  <c r="T26" i="1" s="1"/>
  <c r="T28" i="1"/>
  <c r="R27" i="1"/>
  <c r="R29" i="1"/>
  <c r="T29" i="1" s="1"/>
  <c r="T27" i="1" l="1"/>
  <c r="T30" i="1" s="1"/>
  <c r="R30" i="1"/>
  <c r="T31" i="1"/>
  <c r="R31" i="1"/>
</calcChain>
</file>

<file path=xl/sharedStrings.xml><?xml version="1.0" encoding="utf-8"?>
<sst xmlns="http://schemas.openxmlformats.org/spreadsheetml/2006/main" count="614" uniqueCount="264">
  <si>
    <t>Курс $ по ЦБ+3%</t>
  </si>
  <si>
    <r>
      <t xml:space="preserve">Стоимость карниза в сборе </t>
    </r>
    <r>
      <rPr>
        <sz val="10"/>
        <rFont val="Arial"/>
        <family val="2"/>
        <charset val="204"/>
      </rPr>
      <t>(цвет карниза - белый; механизм управления, оператор, потолочные кронштейны - в комплекте)</t>
    </r>
    <r>
      <rPr>
        <b/>
        <sz val="10"/>
        <rFont val="Arial"/>
        <family val="2"/>
        <charset val="204"/>
      </rPr>
      <t>:</t>
    </r>
  </si>
  <si>
    <t>Ширина, м</t>
  </si>
  <si>
    <t>ДИЛЕР</t>
  </si>
  <si>
    <t>РОЗНИЦА</t>
  </si>
  <si>
    <t>Наценка за тип крепления ДИЛЕР:</t>
  </si>
  <si>
    <t>Армстронг</t>
  </si>
  <si>
    <t>Стеновые</t>
  </si>
  <si>
    <t>Стенов+удлинитель</t>
  </si>
  <si>
    <t>Наценка за тип крепления РОЗНИЦА:</t>
  </si>
  <si>
    <t>Стоимость ткани за 1 м.кв.:</t>
  </si>
  <si>
    <t>Категория ткани</t>
  </si>
  <si>
    <t>Наименование ткани</t>
  </si>
  <si>
    <t>Цена ДИЛЕР</t>
  </si>
  <si>
    <t>Цена РОЗНИЦА</t>
  </si>
  <si>
    <t>1 категория</t>
  </si>
  <si>
    <t>КЁЛЬН, ЛАЙН, МАЛЬТА</t>
  </si>
  <si>
    <t>2 категория</t>
  </si>
  <si>
    <t>БАЛИ, ВЕНЕРА, МИЛАН, РЕЙН, РИО, СЕУЛ, СИДЕ</t>
  </si>
  <si>
    <t>3 категория</t>
  </si>
  <si>
    <t>АРУБА, БЕЙРУТ II, ВЕНЕРА (золото/серебро), ВИКТОРИЯ, ДЖАНГЛ (белый/бежевый), МАИС, МАРСЕЛЬ, РОКОКО, САВАННА, СФЕРА, ЭДЕМ, ЭЙЛАТ</t>
  </si>
  <si>
    <t>4 категория</t>
  </si>
  <si>
    <t>ВЕНЕРА ТЕХНО, ДЖАНГЛ (золото/серебро/металлик), ДИАНА, ЖЕМЧУГ, ЛЕЙЛА, МАНИЛА, ОПТИМА, ОФИС  BLACKOUT, РАТАН, СИДЕ BLACKOUT, СЭНДИ, ШЕЛК</t>
  </si>
  <si>
    <t>5 категория</t>
  </si>
  <si>
    <t>АРИЗОНА BLACK-OUT, ПУТЬ САМУРАЯ, ЧАЙНАЯ ЦЕРЕМОНИЯ, ЧИО-ЧИО-САН</t>
  </si>
  <si>
    <t>6 категория</t>
  </si>
  <si>
    <t>Алгоритм расчета стоимости готового изделия:</t>
  </si>
  <si>
    <t>1. Определяем площадь изделия (м2): Sизд = ширина изделия (м) х высота изделия (м)</t>
  </si>
  <si>
    <t>2. Определяем категорию ткани по таблице и ее стоимость за 1 м2</t>
  </si>
  <si>
    <t>3. Рассчитываем стоимость ткани в изделии: $тк = площадь изделия х стоимость ткани за 1 м2</t>
  </si>
  <si>
    <t>4. Определяем стоимость карниза по таблице, исходя из его ширины (округляется в большую сторону до ближайшей ячейки), при ширине карниза менее 1 м, расчет ведется как 1м</t>
  </si>
  <si>
    <t>5. Если крепление отличается от стандартного потолочного (армстронг, стена, стена с удлинителем), определяем наценку за соответствующий тип крепления, исходя из ширины карниза</t>
  </si>
  <si>
    <t>6. Суумируем итоговую стоимость изделия:</t>
  </si>
  <si>
    <t>$ изделия (руб) =</t>
  </si>
  <si>
    <t>($ткани + $карниза + $крепление) х курс $</t>
  </si>
  <si>
    <t>Параметры изделия</t>
  </si>
  <si>
    <t>Кол-во</t>
  </si>
  <si>
    <t>Ширина (м)</t>
  </si>
  <si>
    <t>заполнить</t>
  </si>
  <si>
    <t>ширина карниза более 3,5м не является гарантийной, рекомендуем разделить его на 2 изделия встык.</t>
  </si>
  <si>
    <t>Высота (м)</t>
  </si>
  <si>
    <t>Площадь (м2)</t>
  </si>
  <si>
    <t>не трогать</t>
  </si>
  <si>
    <t>заполнить от 1 до 6</t>
  </si>
  <si>
    <t>установить один из флажков при необходимости</t>
  </si>
  <si>
    <t>Крепление на стену</t>
  </si>
  <si>
    <t>Крепление на стену с удлинителем</t>
  </si>
  <si>
    <t>Количество изделий (шт)</t>
  </si>
  <si>
    <t>Кол-во кронштейнов (расчетное), шт.</t>
  </si>
  <si>
    <t>потолочные/стеновые кронштейны</t>
  </si>
  <si>
    <t>Карниз в сборе</t>
  </si>
  <si>
    <t>Ткань</t>
  </si>
  <si>
    <t>Стеновой кронштейн</t>
  </si>
  <si>
    <t>Стеновой кронштейн с удлинит</t>
  </si>
  <si>
    <t>ИТОГО в УЕ</t>
  </si>
  <si>
    <t>ИТОГО в руб</t>
  </si>
  <si>
    <t>Обращаем Ваше внимание !</t>
  </si>
  <si>
    <t xml:space="preserve">Цена изделия зависит от курса доллара . Для уточнения курса можно обратиться к Вашему менеджеру . </t>
  </si>
  <si>
    <t>Оплата производиться в рублях, по курсу  в день оплаты заказа.</t>
  </si>
  <si>
    <t>Заказы по готовым изделиям принимаются только на бланках компании и требуют обязательного подтверждения. За заказы поданные не на бланках, компания ответственности не несет.</t>
  </si>
  <si>
    <t>Нестандартные заказы просчитываются индивидуально!</t>
  </si>
  <si>
    <t>заполнить!</t>
  </si>
  <si>
    <t>Наценка розница</t>
  </si>
  <si>
    <t>Крепление на армстронг *</t>
  </si>
  <si>
    <t xml:space="preserve"> *устанавливаются каждые 0,6м </t>
  </si>
  <si>
    <t>4. Определяем стоимость системы по таблице, исходя из габаритов готового изделия (округляется в большую сторону до ближайшей ячейки), при ширине системы менее имеющегося показателя в таблице, расчет ведется по минимальному показателю.</t>
  </si>
  <si>
    <t>5. Если габариты готового изделия выходят за пределы показателей таблицы - у вас негабаритное изделие, его расчет производится вашим менеджером в индивидуальном порядке</t>
  </si>
  <si>
    <t>($ткани + $системы) х курс $</t>
  </si>
  <si>
    <t>ДЛЯ ПРОСТОТЫ И УДОБСТВА РАСЧЕТА ВОСПОЛЬЗУЙТЕСЬ КАЛЬКУЛЯТОРОМ СТОИМОСТИ</t>
  </si>
  <si>
    <t>ГОТОВЫХ ИЗДЕЛИЙ, ЗАПОЛНИВ ЯЧЕЙКИ:</t>
  </si>
  <si>
    <t>Стоимость ткани за 1 м.кв. изделия:</t>
  </si>
  <si>
    <t>Категория Ткани</t>
  </si>
  <si>
    <t>Каталог АМИГО</t>
  </si>
  <si>
    <t>Вкладка "ЛЮКС"</t>
  </si>
  <si>
    <t>СТАНДАРТ</t>
  </si>
  <si>
    <t>КРИСТАЛЛ,  СОФТ</t>
  </si>
  <si>
    <t xml:space="preserve">Simple </t>
  </si>
  <si>
    <t>заполнить от 1 до 8</t>
  </si>
  <si>
    <t>СТЕП,  ЛЁН,  ДАКОТА,  МОНТАНА</t>
  </si>
  <si>
    <t>для системы ЛЮКС</t>
  </si>
  <si>
    <t>АВАНГАРД,  БАБОЧКИ,  КОФЕ,  СИЛУЭТ,  АРАБЕСКА,  ТЕТРИС,  ЭТНИК,  ОРНАМЕНТ,  ЭЛЛАДА,  КРУЖЕВО,  ОБЛАКА</t>
  </si>
  <si>
    <t>Yugi</t>
  </si>
  <si>
    <t>Итоговая стоимость заказа:</t>
  </si>
  <si>
    <t>СИСТЕМА</t>
  </si>
  <si>
    <t>ткань</t>
  </si>
  <si>
    <t>система</t>
  </si>
  <si>
    <t>УЕ</t>
  </si>
  <si>
    <t>РУБ</t>
  </si>
  <si>
    <t>ДАМАСК,  ФЛЕКС,  ФРОСТ,  МЕЛАНЖ,  ЭЛЕКТРА,  ПАЛАС,  ОРНАМЕНТ,  МЕТАЛЛИК,  АДАЖИО,  ДАЙКИРИ</t>
  </si>
  <si>
    <t xml:space="preserve">Kery, Lino </t>
  </si>
  <si>
    <t>МИНИ - ЗЕБРА</t>
  </si>
  <si>
    <t>КЛЕТКА,  ЛУКСОР ТРИО,  ЛУКСОР УНО,  ПАРМА,  ЛОФТ ВО,  АЙЛЕНД,  ВАЛЕНСИЯ</t>
  </si>
  <si>
    <t xml:space="preserve">Suri </t>
  </si>
  <si>
    <t>УНИ - ЗЕБРА</t>
  </si>
  <si>
    <t>на 1 м высоты</t>
  </si>
  <si>
    <t>надбавка по высоте - 0,42 за каждые 0,1 м</t>
  </si>
  <si>
    <t xml:space="preserve">Zevs, Rodos </t>
  </si>
  <si>
    <t>СТАНДАРТ - ЗЕБРА</t>
  </si>
  <si>
    <t>Tetra</t>
  </si>
  <si>
    <t>ЛЮКС - ЗЕБРА</t>
  </si>
  <si>
    <t>СИСТЕМЫ РУЛОННЫХ ШТОР НА СТВОРКУ (высота - не более 1,8 м.)</t>
  </si>
  <si>
    <r>
      <t xml:space="preserve">МИНИ - ЗЕБРА </t>
    </r>
    <r>
      <rPr>
        <sz val="10"/>
        <rFont val="Arial"/>
        <family val="2"/>
        <charset val="204"/>
      </rPr>
      <t>(труба 19 мм; механизм управления, оператор с грузом, нижний отвес, боковая фиксация на леске - в комплекте, цвет белый)</t>
    </r>
    <r>
      <rPr>
        <b/>
        <sz val="10"/>
        <rFont val="Arial"/>
        <family val="2"/>
        <charset val="204"/>
      </rPr>
      <t>:</t>
    </r>
  </si>
  <si>
    <r>
      <t xml:space="preserve">УНИ - ЗЕБРА </t>
    </r>
    <r>
      <rPr>
        <sz val="10"/>
        <rFont val="Arial"/>
        <family val="2"/>
        <charset val="204"/>
      </rPr>
      <t>(труба 19 мм; короб алюм, П-образные направляющие, механизм управления, оператор с грузом, нижний отвес - в комплекте, цвет белый)</t>
    </r>
    <r>
      <rPr>
        <b/>
        <sz val="10"/>
        <rFont val="Arial"/>
        <family val="2"/>
        <charset val="204"/>
      </rPr>
      <t>:</t>
    </r>
  </si>
  <si>
    <t>Ограничения ткани по высоте в МИНИ и УНИ ЗЕБРА:</t>
  </si>
  <si>
    <t>Максимальная высота изделия, при которой ткань полностью наматывается на вал при полном поднятии шторы:</t>
  </si>
  <si>
    <t xml:space="preserve">1,2 м </t>
  </si>
  <si>
    <t>Орнамент, Клетка, Лофт ВО, Zevs</t>
  </si>
  <si>
    <t>1,5 м</t>
  </si>
  <si>
    <t>Этник, Меланж, Kery, Simple</t>
  </si>
  <si>
    <t>СИСТЕМЫ РУЛОННЫХ ШТОР НА ПРОЁМ / В ПРОЁМ (высота - не более 3 м при ширине до 2 и не более 2 м. при ширине до 2,8 м)</t>
  </si>
  <si>
    <r>
      <t xml:space="preserve">СТАНДАРТ - ЗЕБРА </t>
    </r>
    <r>
      <rPr>
        <sz val="10"/>
        <rFont val="Arial"/>
        <family val="2"/>
        <charset val="204"/>
      </rPr>
      <t>(труба 25 мм; механизм управления,короб алюминиевый, оператор с грузом, нижний отвес - в комплекте, цвет белый):</t>
    </r>
  </si>
  <si>
    <r>
      <t xml:space="preserve">ЛЮКС - ЗЕБРА </t>
    </r>
    <r>
      <rPr>
        <sz val="10"/>
        <rFont val="Arial"/>
        <family val="2"/>
        <charset val="204"/>
      </rPr>
      <t>(труба 32 мм; механизм управления, дополнительный монтажный профиль, кронштейны потолочные, оператор с грузом, нижний отвес - в комплекте, цвет белый):</t>
    </r>
  </si>
  <si>
    <t>Цена изделия зависит от курса доллара . Для уточнения курса можно обратиться к Вашему менеджеру .</t>
  </si>
  <si>
    <t>Оплата производиться в рублях, по курсу в день оплаты заказа.</t>
  </si>
  <si>
    <t>!!! Ткань в готовом изделии может отличаться от образца в каталоге на один-два тона, что не является браком и основанием для возврата изделия.</t>
  </si>
  <si>
    <t>!!! Ткани с плиссированной складкой и очень плотные ткани при полном подъеме могут не полностью скручиваться на вал.</t>
  </si>
  <si>
    <t>!!!Зебра (День-Ночь) изготавливается согласно указанных в бланке заказа размеров, с выполнением условия: положение полос "Ночь" в опущенном состоянии ткани . Для полного совмещения плотных полос ткани в опущенном состоянии очень важно указать точную высоту изделия.</t>
  </si>
  <si>
    <t>!!!Для симметрии полос в изделиях, устанавливаемых рядом (на одном окне) при замере необходимо учесть, что изделия должны быть одинаковой высоты.</t>
  </si>
  <si>
    <t>Заказы по готовым изделиям принимаются только на бланках компании и требуют обязательного подтверждения.</t>
  </si>
  <si>
    <t>За заказы поданные не на бланках, компания ответственности не несет.</t>
  </si>
  <si>
    <t>Цвет ткани в изделии может отличаться от образца в каталоге на один-два тона, что не является браком и основанием для его возврата.</t>
  </si>
  <si>
    <t>1. Определяем категорию ткани по таблице и ее стоимость за 1 м.пог</t>
  </si>
  <si>
    <t>2. Рассчитываем стоимость ткани в изделии: $тк =ширина изделия х стоимость ткани за 1 м.пог</t>
  </si>
  <si>
    <t>3. Определяем стоимость системы по таблице, исходя из габаритов готового изделия (округляется в большую сторону до ближайшей ячейки), при ширине/высоте системы менее имеющегося показателя в таблице, расчет ведется по минимальному показателю.</t>
  </si>
  <si>
    <t>4. Если габариты готового изделия выходят за пределы показателей таблицы - у вас негабаритное изделие, его расчет производится вашим менеджером в индивидуальном порядке</t>
  </si>
  <si>
    <t>5. Суумируем итоговую стоимость изделия:</t>
  </si>
  <si>
    <t>Стоимость ткани за 1 м.пог. ширины изделия:</t>
  </si>
  <si>
    <t>Каталог ДЛЯ ВАС</t>
  </si>
  <si>
    <t>Каталог ВИНДЕКО</t>
  </si>
  <si>
    <t>Каталог НОВЫЙ ЛИДЕР</t>
  </si>
  <si>
    <t xml:space="preserve">НИАГАРА, ТЕФФИ , РЯБИНА, СТИКАН </t>
  </si>
  <si>
    <t>АЛЬФА</t>
  </si>
  <si>
    <t>Лайт 1 - 7</t>
  </si>
  <si>
    <t>КАРИНА, ДРИАДА, ОЛИВИЯ, ФЛОРА</t>
  </si>
  <si>
    <t>СИДЕ, ГАРМОНИЯ</t>
  </si>
  <si>
    <t>Alfa, Prima</t>
  </si>
  <si>
    <t>Лайт 8 - 20</t>
  </si>
  <si>
    <t>заполнить от 1 до 13</t>
  </si>
  <si>
    <t>РЕСПЕКТ Б/А, ШЕЛК , БАЛТИК, САКУРА , САХАРА, РОЗА</t>
  </si>
  <si>
    <t>АЖУР, ЭЛЬБА, АЛЬМЕРИЯ, БАМБУК, СОУЛ, КАНТРИ, ЛЁН, ШАНТУНГ</t>
  </si>
  <si>
    <t>Bamboo, Shantung, Muar, Village</t>
  </si>
  <si>
    <t>Лайт 21 - 24, Стандарт 3 - 7, Стандарт 11, Стандарт 17 - 20, Стандарт 23 - 31, Стандарт 35 - 67, Стандарт 80 - 91</t>
  </si>
  <si>
    <t>ГЭЛАКСИ, МАДАГАСКАР, ЛИЛУ, МЕТАЛЛИК, АЛЛЕГРО ПЕРЛ</t>
  </si>
  <si>
    <t>АЛЬФА ALU B/O, ОМЕГА, САКУРА, ШЁЛК, КИТАЙСКАЯ РОЗА, БЛАНКО, БОЛГАРСКАЯ РОЗА, ПЕРЛ, НЕВАДА, МЕДЕЯ</t>
  </si>
  <si>
    <t>Journal, Wood, Praga b/o, Berlin b/o, Carnival, Kent b/o, Sonata</t>
  </si>
  <si>
    <t>Актуаль 185 - 187, Стандарт 1 - 2, Стандарт 68, Стандарт 70 - 79, Классик 4 - 7, Классик 57 - 74, Классик 87 - 96</t>
  </si>
  <si>
    <t>надбавка по высоте за каждые 0,1 м</t>
  </si>
  <si>
    <t xml:space="preserve">КАРИНА Б/А, РОНДО Б/А, ХЕРБ ВАЙТ, АРУБА </t>
  </si>
  <si>
    <t>Flat, Metallik, Jasper, Riana, Morris, Glitter, Tendence</t>
  </si>
  <si>
    <t>Актуаль 188 - 192, Классик 28 - 29, Классик 32 - 33, Классик 48, Классик 51 - 56</t>
  </si>
  <si>
    <t>МИНИ</t>
  </si>
  <si>
    <t>УНИ 1 (плоские направляющие)</t>
  </si>
  <si>
    <t xml:space="preserve">ЭКЛИПС, ЛУСТО , ЯМАЙКА </t>
  </si>
  <si>
    <t>КАМЕЛИЯ, ОРБИТА B/O, СКРИН 5%, ВЕРСАЛЬ, ИНТРО, ЮНИОР, БАБОЧКИ</t>
  </si>
  <si>
    <t>Актуаль 13 - 14, Актуаль 44,   Актуаль 98 - 102, Актуаль 110 - 113, Актуаль 142 - 147, Актуаль 161 - 165, Актуаль 181 - 184, Классик 1</t>
  </si>
  <si>
    <t>УНИ 2 (П-образные направляющие)</t>
  </si>
  <si>
    <t>УНИ ПРУЖИНА</t>
  </si>
  <si>
    <t xml:space="preserve">АНЖЕ, СКРИН , СОНЕТ 1/4, ЛАМЬЕРА , ИВИ, КОРСО, КАЛИПСО  </t>
  </si>
  <si>
    <t>ТАЛЬНИК, СТРЕКОЗА, МАНИЛА, СКРИН 3%, ШИКАТАН ЧАЙНАЯ ЦЕРЕМОНИЯ, ШИКАТАН ПУТЬ САМУРАЯ, ШИКАТАН ЧИО-ЧИО-САН, СОГДИАНА, АНАКОНДА, БОСТОН, ФЛОРА B/O, ШЁЛК В/О, ЛИМА ПЕРЛА</t>
  </si>
  <si>
    <t>Robin,  Ripple</t>
  </si>
  <si>
    <t>Актуаль 27 - 31, Актуаль 38 - 39, Актуаль 125 - 130, Актуаль 153 - 155, Актуаль 166 - 180, Классик 50,    Классик 80</t>
  </si>
  <si>
    <t>СТАНДАРТ 25</t>
  </si>
  <si>
    <t>ЛЮКС 32</t>
  </si>
  <si>
    <t>ЛЮКС 45+</t>
  </si>
  <si>
    <t xml:space="preserve"> АМЕЛИЯ, АЖУР, СТАМБУЛ, СМУГИ </t>
  </si>
  <si>
    <t>Slate, Twilight, Shirley, Sahara b/o, Juno, Azimut b/o, Barbara, Tendence b/o, Gladis</t>
  </si>
  <si>
    <t>Актуаль 45 - 47, Актуаль 80 - 81, Актуаль 114 - 116, Актуаль 131 - 132, Актуаль 136 - 137, Актуаль 156 - 160, Премиум 22 - 23, Премиум 26 - 28, Престиж 41, Престиж 43</t>
  </si>
  <si>
    <t xml:space="preserve">ЛЕЙСИ, СИЛЬВЕР СКРИН, КОФЕ, ПОРТО ПЕРЛ, ФАРАОН </t>
  </si>
  <si>
    <t>Aery, Botanika</t>
  </si>
  <si>
    <t>Актуаль 84,   Актуаль 139 - 141, Премиум 1 - 4, Премиум 7 - 8</t>
  </si>
  <si>
    <t>ФРОСТ , ВИТЕЛЬ, ГАРДЕН, ПРАДО ,ДЕСКИЕ, СМУГИ Б/А, КОРСО Б/А</t>
  </si>
  <si>
    <t>Ray-screen</t>
  </si>
  <si>
    <t>Премиум 29 - 38, Престиж 2</t>
  </si>
  <si>
    <t>АНЖЕ Б/А. АТИКО Б/А, ВЕРСАЛЬ, ПОРТО Б/А</t>
  </si>
  <si>
    <t>ТИФФАНИ</t>
  </si>
  <si>
    <t>Iris, Nuance, Profiscreen, Fern, Apollo Medi</t>
  </si>
  <si>
    <t>Премиум 15, Премиум 17 - 18, Престиж 19 - 23, Престиж 28 - 31, Престиж 36 - 40</t>
  </si>
  <si>
    <t>СЕЙШЕЛЫ, ШАМПАНЬ Б/А, ДЕТСКИЕ Б/А</t>
  </si>
  <si>
    <t xml:space="preserve">ПРИМО B/O, КАЛИФОРНИЯ  B/O, </t>
  </si>
  <si>
    <t>Classic, Apollo b/o</t>
  </si>
  <si>
    <t>Престиж 46 - 50</t>
  </si>
  <si>
    <t>ШЕЙД, ЛЕЙСИ Б/А</t>
  </si>
  <si>
    <t>Престиж 51 - 52</t>
  </si>
  <si>
    <r>
      <t xml:space="preserve">МИНИ </t>
    </r>
    <r>
      <rPr>
        <sz val="10"/>
        <rFont val="Arial"/>
        <family val="2"/>
        <charset val="204"/>
      </rPr>
      <t>(труба 19 мм; механизм управления, оператор с грузом, нижний отвес, боковая фиксация на леске - в комплекте, цвет белый)</t>
    </r>
    <r>
      <rPr>
        <b/>
        <sz val="10"/>
        <rFont val="Arial"/>
        <family val="2"/>
        <charset val="204"/>
      </rPr>
      <t>:</t>
    </r>
  </si>
  <si>
    <r>
      <t xml:space="preserve">УНИ 1 </t>
    </r>
    <r>
      <rPr>
        <sz val="10"/>
        <rFont val="Arial"/>
        <family val="2"/>
        <charset val="204"/>
      </rPr>
      <t>(труба 19 мм; короб алюм, плоские направляющие, механизм управления, оператор с грузом, нижний отвес - в комплекте, цвет белый)</t>
    </r>
    <r>
      <rPr>
        <b/>
        <sz val="10"/>
        <rFont val="Arial"/>
        <family val="2"/>
        <charset val="204"/>
      </rPr>
      <t>:</t>
    </r>
  </si>
  <si>
    <t>НЕ РЕКОМЕНДУЕМ В ЭТОЙ системе использовать ткань black-out  !!!!!!</t>
  </si>
  <si>
    <r>
      <t xml:space="preserve">УНИ 2 </t>
    </r>
    <r>
      <rPr>
        <sz val="10"/>
        <rFont val="Arial"/>
        <family val="2"/>
        <charset val="204"/>
      </rPr>
      <t>(труба 19 мм; короб алюм, П-образные направляющие, механизм управления, оператор с грузом, нижний отвес - в комплекте, цвет белый)</t>
    </r>
    <r>
      <rPr>
        <b/>
        <sz val="10"/>
        <rFont val="Arial"/>
        <family val="2"/>
        <charset val="204"/>
      </rPr>
      <t>:</t>
    </r>
  </si>
  <si>
    <r>
      <t xml:space="preserve">УНИ ПРУЖИНА </t>
    </r>
    <r>
      <rPr>
        <sz val="10"/>
        <rFont val="Arial"/>
        <family val="2"/>
        <charset val="204"/>
      </rPr>
      <t>(труба 25 мм; короб алюм, П-образные направляющие, пружинный механизм, нижняя планка с тормозом - в комплекте, цвет белый)</t>
    </r>
    <r>
      <rPr>
        <b/>
        <sz val="10"/>
        <rFont val="Arial"/>
        <family val="2"/>
        <charset val="204"/>
      </rPr>
      <t>:</t>
    </r>
  </si>
  <si>
    <t>СИСТЕМЫ РУЛОННЫХ ШТОР НА ПРОЁМ / В ПРОЁМ (высота - не более 3 м при ширине до 2 м и не более 1,8 м при ширине до 3 м)</t>
  </si>
  <si>
    <r>
      <t xml:space="preserve">СТАНДАРТ 25 </t>
    </r>
    <r>
      <rPr>
        <sz val="10"/>
        <rFont val="Arial"/>
        <family val="2"/>
        <charset val="204"/>
      </rPr>
      <t>(труба 25 мм; механизм управления, оператор с грузом, нижний отвес - в комплекте, цвет белый):</t>
    </r>
  </si>
  <si>
    <r>
      <t xml:space="preserve">ЛЮКС 32 </t>
    </r>
    <r>
      <rPr>
        <sz val="10"/>
        <rFont val="Arial"/>
        <family val="2"/>
        <charset val="204"/>
      </rPr>
      <t>(труба 32 мм; механизм управления, дополнительный монтажный профиль, кронштейны потолочные, оператор с грузом, нижний отвес - в комплекте, цвет белый):</t>
    </r>
  </si>
  <si>
    <r>
      <t xml:space="preserve">ЛЮКС 45+ </t>
    </r>
    <r>
      <rPr>
        <sz val="10"/>
        <rFont val="Arial"/>
        <family val="2"/>
        <charset val="204"/>
      </rPr>
      <t>(труба 45 мм усиленная; механизм управления, дополнительный монтажный профиль, кронштейны потолочные, оператор с грузом, нижний отвес - в комплекте, цвет белый):</t>
    </r>
  </si>
  <si>
    <t>!!! Очень плотные ткани при полном подъеме могут не полностью скручиваться на вал.</t>
  </si>
  <si>
    <t>ЖАКАРД BLACKOUT, ЖЕМЧУГ  BLACKOUT, СКРИН, СКРИН II, ЗАМША</t>
  </si>
  <si>
    <t>САФАРИ, СИДЕ В/О, АЛЬФА B/O, РОМАНС, СФЕРА B/O, АЛЛЕЯ, ДИАМАНДА, ПТИЧКИ, ФЛОРА, ЭЛИКА, ПУЭБЛО B/O, ЛЁН B/O, АРИАДНА, АЛЬБИОН, ЖЕМЧУГ</t>
  </si>
  <si>
    <t>Mirage, Bristol, Azimut, Retro, Elegia, Stroke, Lars, Liberty, Bella, Tracery, Summer</t>
  </si>
  <si>
    <t>ВАЛЬС, САТАРА, РИШЕЛЬЕ, ЛИАНА, ВЕРОНА, ШАНХАЙ, ЛАУРА, БУХАРА B/O, КАЛИПСО, ХАРИЗМА, АНЖУ, КАМИЛА, НЕВАДА МЕТАЛЛИК</t>
  </si>
  <si>
    <t>ПРОВАНС, ВИНДЗОР, ОМЕГА B/O, ИМПАЛА, ШПАЛЕРА, СИЕСТА, ТОЛЕДО, МАРЦИПАН</t>
  </si>
  <si>
    <t>ДЖУНГЛИ, АРАБИКА, ЯМАЙКА, АКВАРЕЛЬ, ВИНДЗОР ЖЕМЧУГ, ВЕРОНА B/O, РЕГАТА, ГЛИТТЕР, САМИРА, ВЕНЕРА, АВЕНСИС</t>
  </si>
  <si>
    <t>ЖЕМЧУГ В/О, МАРАКЕШ D/O, МАДРАС ПЕРЛА, ТОЛЕДО B/O, МАТРИЦА B/O, ТИФФАНИ В/О</t>
  </si>
  <si>
    <t>Ritm, Dacota, Shade b/o, White, Mistral, Botanika b/o</t>
  </si>
  <si>
    <t>Количество складок (шт)</t>
  </si>
  <si>
    <t>рекомендованное</t>
  </si>
  <si>
    <t>рекомендованная высота 1 складки от 0,2 до 0,35 м, 
кол-во складок = высота изделия : желаемая высота 1 складки</t>
  </si>
  <si>
    <t>надбавка за увеличенное кол-во складок 10% за каждую доп.складку</t>
  </si>
  <si>
    <t>МИНИ ПРЯМАЯ (ниточный механизм)</t>
  </si>
  <si>
    <t>СТАНДАРТ ПРЯМАЯ (цепочный механизм)</t>
  </si>
  <si>
    <t>СИСТЕМА РИМСКИХ ШТОР НА СТВОРКУ (высота - не более 1,8 м.)</t>
  </si>
  <si>
    <r>
      <t xml:space="preserve">РИМСКАЯ МИНИ </t>
    </r>
    <r>
      <rPr>
        <sz val="10"/>
        <rFont val="Arial"/>
        <family val="2"/>
        <charset val="204"/>
      </rPr>
      <t>(ультратонкий алюминиевый карниз с велкро-лентой; ниточный механизм управления, оператор-веревка с грузом, нижний отвес, магнит под шуруп - в комплекте, цвет белый)</t>
    </r>
    <r>
      <rPr>
        <b/>
        <sz val="10"/>
        <rFont val="Arial"/>
        <family val="2"/>
        <charset val="204"/>
      </rPr>
      <t>:</t>
    </r>
  </si>
  <si>
    <t>СИСТЕМА РИМСКИХ ШТОР НА ПРОЁМ / В ПРОЁМ (высота - не более 3 м при ширине до 2 м и не более 2 м при ширине до 3 м)</t>
  </si>
  <si>
    <r>
      <t xml:space="preserve">РИМСКАЯ СТАНДАРТ </t>
    </r>
    <r>
      <rPr>
        <sz val="10"/>
        <rFont val="Arial"/>
        <family val="2"/>
        <charset val="204"/>
      </rPr>
      <t>(карниз с поворотным стержнем, суппортами в коробе с велкро-лентой; цепочный механизм управления, оператор-цепь с грузом, нижний отвес - в комплекте, цвет белый):</t>
    </r>
  </si>
  <si>
    <t>Желаемое количество складок, шт *</t>
  </si>
  <si>
    <t>МИНИ ПЫШНАЯ** (ниточный механизм)</t>
  </si>
  <si>
    <t>СТАНДАРТ ПЫШНАЯ** (цепочный механизм)</t>
  </si>
  <si>
    <t xml:space="preserve"> * За каждую дополнительную складку + 10% к стоимости изделия.
 ** Стоимость ткани в римских с пышными складками расчитывается с коэффициентом 1,2.
При комбинировании нескольких тканей в одном изделии (сшивании складок из разных тканей) - в расчет берется ткань по наивысшей категории, стоимость изделия умножается на коэффициент 1,5</t>
  </si>
  <si>
    <t>2. Рассчитываем стоимость ткани в изделии: $тк =(высота изделия+0,1м) х стоимость ткани за 1 м.пог х кол-во треков</t>
  </si>
  <si>
    <t>3. Определяем стоимость карниза по таблице, исходя из ширины готового изделия (округляется в большую сторону до ближайшей ячейки), при ширине карниза менее имеющегося показателя в таблице, расчет ведется по минимальному показателю.</t>
  </si>
  <si>
    <t>($ткани + $карниза + $декоративного валанса) х курс $</t>
  </si>
  <si>
    <t>Стоимость ткани за 1 м.пог. ВЫСОТЫ трека:</t>
  </si>
  <si>
    <t>Ширина карниза (м)</t>
  </si>
  <si>
    <t>цельный не более 3,5 м, возможность стыковки</t>
  </si>
  <si>
    <t>Ширина трека (м)</t>
  </si>
  <si>
    <t>рекомендованная - от 0,5м до 0,8м</t>
  </si>
  <si>
    <t>Количество треков (шт)</t>
  </si>
  <si>
    <t>расчитывает автоматически</t>
  </si>
  <si>
    <t>Рекомендованное кол-во треков и их ширина</t>
  </si>
  <si>
    <t>Карниз Стандарт 83</t>
  </si>
  <si>
    <t>выбрать один из карнизов</t>
  </si>
  <si>
    <t>Карниз Стандарт 84</t>
  </si>
  <si>
    <t>Карниз Стандарт 85</t>
  </si>
  <si>
    <t>Декоративный валанс</t>
  </si>
  <si>
    <t>выбрать при необходимости</t>
  </si>
  <si>
    <t>ВИД КАРНИЗА</t>
  </si>
  <si>
    <t>СМАРТ, в т.ч.:</t>
  </si>
  <si>
    <t xml:space="preserve"> - карниз в сборе</t>
  </si>
  <si>
    <t xml:space="preserve"> - ткань</t>
  </si>
  <si>
    <t>кол-во высот для заказа ткани (при ширине рулона 1,8 м</t>
  </si>
  <si>
    <t>СТАНДАРТ 83/84/85, в т.ч.:</t>
  </si>
  <si>
    <t xml:space="preserve"> - декоративный валанс</t>
  </si>
  <si>
    <t>Карнизы для Японских штор:</t>
  </si>
  <si>
    <t>от 1,0 м до 1,4 м</t>
  </si>
  <si>
    <t>от 1,4 м до 2,25 м</t>
  </si>
  <si>
    <t>от 2,25 м до 2,8 м</t>
  </si>
  <si>
    <t>Кол-во треков</t>
  </si>
  <si>
    <t>3шт</t>
  </si>
  <si>
    <t>4шт</t>
  </si>
  <si>
    <t>5шт</t>
  </si>
  <si>
    <t>Ширина трека (не меняется)</t>
  </si>
  <si>
    <t>50см</t>
  </si>
  <si>
    <t>60см</t>
  </si>
  <si>
    <t>!!! По умолчнию устанавливается белая нижняя утяжелительная планка, при необходимости в бланке заказа делается пометка - "планку вшить в ткань".</t>
  </si>
  <si>
    <t>при установке Декоративного валанса с боковинами габаритная ширина карниза увеличивается на 1,5 см</t>
  </si>
  <si>
    <t>Расположение треков в карнизе СМАРТ:</t>
  </si>
  <si>
    <t>3 трека</t>
  </si>
  <si>
    <t>4 трека</t>
  </si>
  <si>
    <t>5 треков</t>
  </si>
  <si>
    <t>СМАРТ (телескопический карниз со встроенной линейкой, подвесные панели (треки) с велкро-лентой, управление - штороводитель (алюминиевый прут), цвет -матовое серебро)</t>
  </si>
  <si>
    <r>
      <t xml:space="preserve">СТАНДАРТ 83 </t>
    </r>
    <r>
      <rPr>
        <sz val="10"/>
        <rFont val="Arial"/>
        <family val="2"/>
        <charset val="204"/>
      </rPr>
      <t>(профиль алюминиевый трехрядный 60мм; подвесные панели (треки) с велкро-лентой; механизм управления; оператор с грузом; нижний отвес - в комплекте; цвет белый):</t>
    </r>
  </si>
  <si>
    <r>
      <t xml:space="preserve">СТАНДАРТ 84 </t>
    </r>
    <r>
      <rPr>
        <sz val="10"/>
        <rFont val="Arial"/>
        <family val="2"/>
        <charset val="204"/>
      </rPr>
      <t>(профиль алюминиевый четырехрядный 78мм; подвесные панели (треки) с велкро-лентой; механизм управления; оператор с грузом; нижний отвес - в комплекте; цвет белый):</t>
    </r>
  </si>
  <si>
    <r>
      <t xml:space="preserve">СТАНДАРТ 85 </t>
    </r>
    <r>
      <rPr>
        <sz val="10"/>
        <rFont val="Arial"/>
        <family val="2"/>
        <charset val="204"/>
      </rPr>
      <t>(профиль алюминиевый пятирядный 96мм; подвесные панели (треки) с велкро-лентой; механизм управления; оператор с грузом; нижний отвес - в комплекте; цвет белый):</t>
    </r>
  </si>
  <si>
    <t>Варианты раздвижки треков в карнизах СТАНДАРТ:</t>
  </si>
  <si>
    <t xml:space="preserve"> - фиксированная панель</t>
  </si>
  <si>
    <t>при комбинировании нескольких тканей разных категорий расчет производится по наивысшей</t>
  </si>
  <si>
    <t>Декоративный валанс с боковинами для карнизов СТАНДАРТ (высота 55мм, алюминиевый, цвета - белый, серебро матовое, золото матовое, бронза)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</si>
</sst>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44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8"/>
      <color rgb="FF66FF66"/>
      <name val="Arial"/>
      <family val="2"/>
      <charset val="204"/>
    </font>
    <font>
      <sz val="8"/>
      <color theme="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Tur"/>
      <charset val="162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Arimo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b/>
      <sz val="16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Arial Cyr"/>
      <charset val="204"/>
    </font>
    <font>
      <sz val="10"/>
      <color theme="0"/>
      <name val="Arial Cyr"/>
      <charset val="204"/>
    </font>
    <font>
      <sz val="8"/>
      <color theme="0"/>
      <name val="Arial Cyr"/>
      <charset val="204"/>
    </font>
    <font>
      <b/>
      <sz val="12"/>
      <name val="Arimo"/>
    </font>
    <font>
      <sz val="10"/>
      <color rgb="FF000000"/>
      <name val="Arimo"/>
    </font>
    <font>
      <b/>
      <sz val="11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sz val="10"/>
      <color rgb="FF66FF66"/>
      <name val="Arial Cyr"/>
      <charset val="204"/>
    </font>
    <font>
      <sz val="11"/>
      <color theme="0"/>
      <name val="Arial Cyr"/>
      <charset val="204"/>
    </font>
    <font>
      <sz val="9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CC"/>
        <bgColor rgb="FF66FFCC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">
    <xf numFmtId="0" fontId="0" fillId="0" borderId="0">
      <alignment horizontal="left"/>
    </xf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7" fillId="0" borderId="1" applyNumberFormat="0" applyFill="0" applyAlignment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4" fillId="0" borderId="0">
      <alignment horizontal="left"/>
    </xf>
    <xf numFmtId="164" fontId="7" fillId="0" borderId="0" applyFont="0" applyFill="0" applyBorder="0" applyAlignment="0" applyProtection="0"/>
    <xf numFmtId="0" fontId="35" fillId="0" borderId="0"/>
    <xf numFmtId="0" fontId="35" fillId="0" borderId="0"/>
    <xf numFmtId="0" fontId="4" fillId="0" borderId="0">
      <alignment horizontal="left"/>
    </xf>
  </cellStyleXfs>
  <cellXfs count="422">
    <xf numFmtId="0" fontId="0" fillId="0" borderId="0" xfId="0">
      <alignment horizontal="left"/>
    </xf>
    <xf numFmtId="0" fontId="0" fillId="0" borderId="0" xfId="0" applyAlignment="1">
      <alignment horizontal="center"/>
    </xf>
    <xf numFmtId="0" fontId="5" fillId="0" borderId="0" xfId="0" applyFont="1">
      <alignment horizontal="left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3" borderId="1" xfId="0" applyFont="1" applyFill="1" applyBorder="1">
      <alignment horizontal="left"/>
    </xf>
    <xf numFmtId="0" fontId="8" fillId="0" borderId="0" xfId="0" applyFont="1">
      <alignment horizontal="left"/>
    </xf>
    <xf numFmtId="0" fontId="10" fillId="0" borderId="0" xfId="0" applyFont="1">
      <alignment horizontal="left"/>
    </xf>
    <xf numFmtId="0" fontId="7" fillId="0" borderId="0" xfId="0" applyFont="1">
      <alignment horizontal="left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4" borderId="11" xfId="0" applyFill="1" applyBorder="1">
      <alignment horizontal="left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21" xfId="0" applyFill="1" applyBorder="1">
      <alignment horizontal="left"/>
    </xf>
    <xf numFmtId="0" fontId="0" fillId="5" borderId="22" xfId="0" applyFill="1" applyBorder="1">
      <alignment horizontal="left"/>
    </xf>
    <xf numFmtId="0" fontId="0" fillId="2" borderId="20" xfId="0" applyFill="1" applyBorder="1" applyAlignment="1">
      <alignment horizontal="center"/>
    </xf>
    <xf numFmtId="0" fontId="0" fillId="0" borderId="0" xfId="0" applyAlignment="1"/>
    <xf numFmtId="0" fontId="14" fillId="2" borderId="0" xfId="0" applyFont="1" applyFill="1" applyAlignment="1"/>
    <xf numFmtId="0" fontId="0" fillId="2" borderId="0" xfId="0" applyFill="1" applyAlignment="1"/>
    <xf numFmtId="0" fontId="15" fillId="2" borderId="0" xfId="0" applyFont="1" applyFill="1" applyAlignment="1"/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19" fillId="0" borderId="0" xfId="21"/>
    <xf numFmtId="0" fontId="8" fillId="0" borderId="0" xfId="21" applyFont="1" applyAlignment="1">
      <alignment horizontal="left"/>
    </xf>
    <xf numFmtId="0" fontId="10" fillId="0" borderId="0" xfId="21" applyFont="1" applyAlignment="1">
      <alignment horizontal="left"/>
    </xf>
    <xf numFmtId="0" fontId="19" fillId="0" borderId="0" xfId="21" applyAlignment="1">
      <alignment horizontal="left"/>
    </xf>
    <xf numFmtId="0" fontId="7" fillId="0" borderId="0" xfId="21" applyFont="1" applyAlignment="1">
      <alignment horizontal="left"/>
    </xf>
    <xf numFmtId="0" fontId="7" fillId="0" borderId="0" xfId="21" applyFont="1" applyAlignment="1">
      <alignment horizontal="right"/>
    </xf>
    <xf numFmtId="0" fontId="7" fillId="0" borderId="0" xfId="21" applyFont="1" applyAlignment="1">
      <alignment horizontal="center"/>
    </xf>
    <xf numFmtId="0" fontId="22" fillId="0" borderId="0" xfId="21" applyFont="1"/>
    <xf numFmtId="0" fontId="5" fillId="0" borderId="0" xfId="21" applyFont="1" applyAlignment="1">
      <alignment horizontal="left"/>
    </xf>
    <xf numFmtId="0" fontId="23" fillId="0" borderId="0" xfId="21" applyFont="1"/>
    <xf numFmtId="0" fontId="24" fillId="17" borderId="34" xfId="21" applyFont="1" applyFill="1" applyBorder="1" applyAlignment="1">
      <alignment horizontal="center" vertical="center" wrapText="1"/>
    </xf>
    <xf numFmtId="0" fontId="5" fillId="0" borderId="4" xfId="21" applyFont="1" applyBorder="1" applyAlignment="1">
      <alignment horizontal="center"/>
    </xf>
    <xf numFmtId="0" fontId="11" fillId="0" borderId="3" xfId="21" applyFont="1" applyBorder="1" applyAlignment="1">
      <alignment horizontal="center"/>
    </xf>
    <xf numFmtId="0" fontId="11" fillId="0" borderId="4" xfId="21" applyFont="1" applyBorder="1" applyAlignment="1">
      <alignment horizontal="center"/>
    </xf>
    <xf numFmtId="0" fontId="19" fillId="0" borderId="0" xfId="21" applyAlignment="1">
      <alignment vertical="center" wrapText="1"/>
    </xf>
    <xf numFmtId="0" fontId="19" fillId="2" borderId="13" xfId="21" applyFill="1" applyBorder="1" applyAlignment="1">
      <alignment horizontal="center"/>
    </xf>
    <xf numFmtId="0" fontId="19" fillId="4" borderId="11" xfId="21" applyFill="1" applyBorder="1" applyAlignment="1">
      <alignment horizontal="left"/>
    </xf>
    <xf numFmtId="0" fontId="19" fillId="4" borderId="12" xfId="21" applyFill="1" applyBorder="1" applyAlignment="1">
      <alignment horizontal="center" vertical="center"/>
    </xf>
    <xf numFmtId="0" fontId="19" fillId="4" borderId="13" xfId="21" applyFill="1" applyBorder="1" applyAlignment="1">
      <alignment horizontal="center" vertical="center"/>
    </xf>
    <xf numFmtId="0" fontId="19" fillId="5" borderId="21" xfId="21" applyFill="1" applyBorder="1" applyAlignment="1">
      <alignment horizontal="left"/>
    </xf>
    <xf numFmtId="0" fontId="19" fillId="5" borderId="22" xfId="21" applyFill="1" applyBorder="1" applyAlignment="1">
      <alignment horizontal="left"/>
    </xf>
    <xf numFmtId="0" fontId="19" fillId="2" borderId="20" xfId="21" applyFill="1" applyBorder="1" applyAlignment="1">
      <alignment horizontal="center"/>
    </xf>
    <xf numFmtId="0" fontId="22" fillId="0" borderId="0" xfId="21" applyFont="1" applyAlignment="1">
      <alignment horizontal="left"/>
    </xf>
    <xf numFmtId="0" fontId="22" fillId="0" borderId="51" xfId="21" applyFont="1" applyBorder="1" applyAlignment="1">
      <alignment horizontal="center" vertical="center"/>
    </xf>
    <xf numFmtId="0" fontId="22" fillId="0" borderId="53" xfId="21" applyFont="1" applyBorder="1" applyAlignment="1">
      <alignment horizontal="center" vertical="center"/>
    </xf>
    <xf numFmtId="0" fontId="22" fillId="0" borderId="54" xfId="21" applyFont="1" applyBorder="1" applyAlignment="1">
      <alignment horizontal="center" vertical="center"/>
    </xf>
    <xf numFmtId="0" fontId="8" fillId="3" borderId="1" xfId="21" applyFont="1" applyFill="1" applyBorder="1" applyAlignment="1">
      <alignment horizontal="center"/>
    </xf>
    <xf numFmtId="0" fontId="9" fillId="3" borderId="1" xfId="21" applyFont="1" applyFill="1" applyBorder="1" applyAlignment="1">
      <alignment horizontal="center"/>
    </xf>
    <xf numFmtId="0" fontId="8" fillId="3" borderId="1" xfId="21" applyFont="1" applyFill="1" applyBorder="1" applyAlignment="1">
      <alignment horizontal="left"/>
    </xf>
    <xf numFmtId="2" fontId="7" fillId="0" borderId="1" xfId="21" applyNumberFormat="1" applyFont="1" applyBorder="1" applyAlignment="1">
      <alignment horizontal="center"/>
    </xf>
    <xf numFmtId="0" fontId="19" fillId="0" borderId="0" xfId="21" applyAlignment="1">
      <alignment horizontal="right"/>
    </xf>
    <xf numFmtId="2" fontId="7" fillId="18" borderId="1" xfId="21" applyNumberFormat="1" applyFont="1" applyFill="1" applyBorder="1" applyAlignment="1">
      <alignment horizontal="center"/>
    </xf>
    <xf numFmtId="2" fontId="19" fillId="0" borderId="0" xfId="21" applyNumberFormat="1"/>
    <xf numFmtId="0" fontId="7" fillId="0" borderId="1" xfId="21" applyFont="1" applyBorder="1" applyAlignment="1">
      <alignment horizontal="center"/>
    </xf>
    <xf numFmtId="0" fontId="28" fillId="2" borderId="61" xfId="21" applyFont="1" applyFill="1" applyBorder="1" applyAlignment="1">
      <alignment vertical="center"/>
    </xf>
    <xf numFmtId="0" fontId="29" fillId="2" borderId="61" xfId="21" applyFont="1" applyFill="1" applyBorder="1" applyAlignment="1">
      <alignment wrapText="1"/>
    </xf>
    <xf numFmtId="0" fontId="30" fillId="0" borderId="61" xfId="21" applyFont="1" applyBorder="1" applyAlignment="1">
      <alignment vertical="center"/>
    </xf>
    <xf numFmtId="0" fontId="30" fillId="0" borderId="61" xfId="21" applyFont="1" applyBorder="1" applyAlignment="1">
      <alignment wrapText="1"/>
    </xf>
    <xf numFmtId="0" fontId="31" fillId="0" borderId="0" xfId="21" applyFont="1"/>
    <xf numFmtId="0" fontId="30" fillId="19" borderId="62" xfId="21" applyFont="1" applyFill="1" applyBorder="1" applyAlignment="1">
      <alignment vertical="center"/>
    </xf>
    <xf numFmtId="0" fontId="28" fillId="5" borderId="61" xfId="21" applyFont="1" applyFill="1" applyBorder="1" applyAlignment="1">
      <alignment vertical="center"/>
    </xf>
    <xf numFmtId="0" fontId="31" fillId="5" borderId="0" xfId="21" applyFont="1" applyFill="1"/>
    <xf numFmtId="0" fontId="19" fillId="5" borderId="0" xfId="21" applyFill="1"/>
    <xf numFmtId="0" fontId="32" fillId="0" borderId="0" xfId="21" applyFont="1"/>
    <xf numFmtId="0" fontId="33" fillId="0" borderId="0" xfId="21" applyFont="1"/>
    <xf numFmtId="0" fontId="21" fillId="2" borderId="33" xfId="21" applyFont="1" applyFill="1" applyBorder="1" applyAlignment="1" applyProtection="1">
      <alignment horizontal="center" wrapText="1"/>
      <protection locked="0"/>
    </xf>
    <xf numFmtId="0" fontId="19" fillId="0" borderId="7" xfId="21" applyBorder="1" applyAlignment="1" applyProtection="1">
      <alignment horizontal="center"/>
      <protection locked="0"/>
    </xf>
    <xf numFmtId="0" fontId="19" fillId="0" borderId="13" xfId="21" applyBorder="1" applyAlignment="1" applyProtection="1">
      <alignment horizontal="center"/>
      <protection locked="0"/>
    </xf>
    <xf numFmtId="0" fontId="19" fillId="0" borderId="20" xfId="21" applyBorder="1" applyAlignment="1" applyProtection="1">
      <alignment horizontal="center"/>
      <protection locked="0"/>
    </xf>
    <xf numFmtId="0" fontId="34" fillId="0" borderId="32" xfId="21" applyFont="1" applyBorder="1" applyAlignment="1">
      <alignment horizontal="right"/>
    </xf>
    <xf numFmtId="0" fontId="34" fillId="0" borderId="32" xfId="21" applyFont="1" applyBorder="1" applyAlignment="1">
      <alignment horizontal="right" vertical="center"/>
    </xf>
    <xf numFmtId="0" fontId="1" fillId="0" borderId="0" xfId="0" applyFont="1" applyAlignment="1"/>
    <xf numFmtId="0" fontId="8" fillId="17" borderId="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6" fillId="0" borderId="0" xfId="30" applyFont="1" applyAlignment="1">
      <alignment horizontal="right"/>
    </xf>
    <xf numFmtId="0" fontId="21" fillId="0" borderId="32" xfId="21" applyFont="1" applyBorder="1" applyAlignment="1">
      <alignment horizontal="right" vertical="center"/>
    </xf>
    <xf numFmtId="0" fontId="38" fillId="0" borderId="7" xfId="21" applyFont="1" applyBorder="1" applyAlignment="1" applyProtection="1">
      <alignment horizontal="center"/>
      <protection locked="0"/>
    </xf>
    <xf numFmtId="0" fontId="38" fillId="0" borderId="13" xfId="21" applyFont="1" applyBorder="1" applyAlignment="1" applyProtection="1">
      <alignment horizontal="center"/>
      <protection locked="0"/>
    </xf>
    <xf numFmtId="0" fontId="38" fillId="0" borderId="20" xfId="21" applyFont="1" applyBorder="1" applyAlignment="1" applyProtection="1">
      <alignment horizontal="center"/>
      <protection locked="0"/>
    </xf>
    <xf numFmtId="0" fontId="19" fillId="0" borderId="51" xfId="21" applyBorder="1" applyAlignment="1">
      <alignment horizontal="center" vertical="center"/>
    </xf>
    <xf numFmtId="0" fontId="19" fillId="0" borderId="53" xfId="21" applyBorder="1" applyAlignment="1">
      <alignment horizontal="center" vertical="center"/>
    </xf>
    <xf numFmtId="2" fontId="19" fillId="0" borderId="0" xfId="21" applyNumberFormat="1" applyAlignment="1">
      <alignment horizontal="center"/>
    </xf>
    <xf numFmtId="1" fontId="19" fillId="0" borderId="0" xfId="21" applyNumberFormat="1" applyAlignment="1">
      <alignment horizontal="center"/>
    </xf>
    <xf numFmtId="0" fontId="19" fillId="0" borderId="0" xfId="21" applyAlignment="1">
      <alignment wrapText="1"/>
    </xf>
    <xf numFmtId="0" fontId="29" fillId="2" borderId="0" xfId="21" applyFont="1" applyFill="1" applyAlignment="1">
      <alignment wrapText="1"/>
    </xf>
    <xf numFmtId="0" fontId="30" fillId="0" borderId="0" xfId="21" applyFont="1" applyAlignment="1">
      <alignment wrapText="1"/>
    </xf>
    <xf numFmtId="2" fontId="32" fillId="0" borderId="0" xfId="21" applyNumberFormat="1" applyFont="1"/>
    <xf numFmtId="2" fontId="31" fillId="0" borderId="42" xfId="21" applyNumberFormat="1" applyFont="1" applyBorder="1" applyAlignment="1">
      <alignment vertical="center"/>
    </xf>
    <xf numFmtId="3" fontId="31" fillId="0" borderId="9" xfId="21" applyNumberFormat="1" applyFont="1" applyBorder="1" applyAlignment="1">
      <alignment vertical="center"/>
    </xf>
    <xf numFmtId="2" fontId="31" fillId="0" borderId="55" xfId="21" applyNumberFormat="1" applyFont="1" applyBorder="1" applyAlignment="1">
      <alignment vertical="center"/>
    </xf>
    <xf numFmtId="3" fontId="31" fillId="0" borderId="56" xfId="21" applyNumberFormat="1" applyFont="1" applyBorder="1" applyAlignment="1">
      <alignment vertical="center"/>
    </xf>
    <xf numFmtId="2" fontId="31" fillId="0" borderId="44" xfId="21" applyNumberFormat="1" applyFont="1" applyBorder="1" applyAlignment="1">
      <alignment vertical="center"/>
    </xf>
    <xf numFmtId="3" fontId="31" fillId="0" borderId="64" xfId="21" applyNumberFormat="1" applyFont="1" applyBorder="1" applyAlignment="1">
      <alignment vertical="center"/>
    </xf>
    <xf numFmtId="2" fontId="31" fillId="0" borderId="47" xfId="21" applyNumberFormat="1" applyFont="1" applyBorder="1" applyAlignment="1">
      <alignment vertical="center"/>
    </xf>
    <xf numFmtId="3" fontId="31" fillId="0" borderId="49" xfId="21" applyNumberFormat="1" applyFont="1" applyBorder="1" applyAlignment="1">
      <alignment vertical="center"/>
    </xf>
    <xf numFmtId="2" fontId="31" fillId="0" borderId="51" xfId="21" applyNumberFormat="1" applyFont="1" applyBorder="1" applyAlignment="1">
      <alignment vertical="center"/>
    </xf>
    <xf numFmtId="3" fontId="31" fillId="0" borderId="53" xfId="21" applyNumberFormat="1" applyFont="1" applyBorder="1" applyAlignment="1">
      <alignment vertical="center"/>
    </xf>
    <xf numFmtId="0" fontId="19" fillId="5" borderId="11" xfId="21" applyFill="1" applyBorder="1" applyAlignment="1">
      <alignment horizontal="left"/>
    </xf>
    <xf numFmtId="0" fontId="19" fillId="5" borderId="12" xfId="21" applyFill="1" applyBorder="1" applyAlignment="1">
      <alignment horizontal="left"/>
    </xf>
    <xf numFmtId="0" fontId="19" fillId="5" borderId="13" xfId="21" applyFill="1" applyBorder="1" applyAlignment="1">
      <alignment horizontal="left"/>
    </xf>
    <xf numFmtId="0" fontId="19" fillId="5" borderId="11" xfId="21" applyFill="1" applyBorder="1" applyAlignment="1">
      <alignment horizontal="center"/>
    </xf>
    <xf numFmtId="0" fontId="19" fillId="5" borderId="13" xfId="21" applyFill="1" applyBorder="1" applyAlignment="1">
      <alignment horizontal="center"/>
    </xf>
    <xf numFmtId="0" fontId="36" fillId="0" borderId="0" xfId="31" applyFont="1" applyAlignment="1">
      <alignment horizontal="right"/>
    </xf>
    <xf numFmtId="0" fontId="19" fillId="0" borderId="10" xfId="21" applyBorder="1" applyAlignment="1">
      <alignment vertical="top" wrapText="1"/>
    </xf>
    <xf numFmtId="0" fontId="19" fillId="0" borderId="0" xfId="21" applyAlignment="1">
      <alignment vertical="top" wrapText="1"/>
    </xf>
    <xf numFmtId="2" fontId="31" fillId="0" borderId="42" xfId="21" applyNumberFormat="1" applyFont="1" applyBorder="1"/>
    <xf numFmtId="3" fontId="31" fillId="0" borderId="9" xfId="21" applyNumberFormat="1" applyFont="1" applyBorder="1"/>
    <xf numFmtId="2" fontId="31" fillId="0" borderId="55" xfId="21" applyNumberFormat="1" applyFont="1" applyBorder="1"/>
    <xf numFmtId="3" fontId="31" fillId="0" borderId="56" xfId="21" applyNumberFormat="1" applyFont="1" applyBorder="1"/>
    <xf numFmtId="2" fontId="31" fillId="0" borderId="51" xfId="21" applyNumberFormat="1" applyFont="1" applyBorder="1"/>
    <xf numFmtId="3" fontId="31" fillId="0" borderId="53" xfId="21" applyNumberFormat="1" applyFont="1" applyBorder="1"/>
    <xf numFmtId="0" fontId="40" fillId="0" borderId="0" xfId="21" applyFont="1"/>
    <xf numFmtId="2" fontId="19" fillId="2" borderId="13" xfId="21" applyNumberFormat="1" applyFill="1" applyBorder="1" applyAlignment="1">
      <alignment horizontal="center"/>
    </xf>
    <xf numFmtId="2" fontId="31" fillId="0" borderId="57" xfId="21" applyNumberFormat="1" applyFont="1" applyBorder="1" applyAlignment="1">
      <alignment vertical="center"/>
    </xf>
    <xf numFmtId="2" fontId="31" fillId="0" borderId="57" xfId="21" applyNumberFormat="1" applyFont="1" applyBorder="1"/>
    <xf numFmtId="0" fontId="19" fillId="0" borderId="0" xfId="21" applyAlignment="1">
      <alignment vertical="center"/>
    </xf>
    <xf numFmtId="0" fontId="38" fillId="2" borderId="13" xfId="21" applyFont="1" applyFill="1" applyBorder="1" applyAlignment="1">
      <alignment horizontal="center"/>
    </xf>
    <xf numFmtId="0" fontId="19" fillId="5" borderId="11" xfId="21" applyFill="1" applyBorder="1" applyAlignment="1">
      <alignment wrapText="1"/>
    </xf>
    <xf numFmtId="0" fontId="27" fillId="0" borderId="0" xfId="21" applyFont="1"/>
    <xf numFmtId="2" fontId="38" fillId="0" borderId="55" xfId="21" applyNumberFormat="1" applyFont="1" applyBorder="1"/>
    <xf numFmtId="3" fontId="38" fillId="0" borderId="56" xfId="21" applyNumberFormat="1" applyFont="1" applyBorder="1"/>
    <xf numFmtId="0" fontId="8" fillId="3" borderId="1" xfId="21" applyFont="1" applyFill="1" applyBorder="1" applyAlignment="1">
      <alignment horizontal="center" wrapText="1"/>
    </xf>
    <xf numFmtId="0" fontId="8" fillId="3" borderId="59" xfId="21" applyFont="1" applyFill="1" applyBorder="1" applyAlignment="1">
      <alignment horizontal="center" vertical="center"/>
    </xf>
    <xf numFmtId="0" fontId="4" fillId="0" borderId="0" xfId="32" applyAlignment="1"/>
    <xf numFmtId="0" fontId="32" fillId="0" borderId="0" xfId="21" applyFont="1" applyAlignment="1">
      <alignment horizontal="center"/>
    </xf>
    <xf numFmtId="2" fontId="31" fillId="0" borderId="47" xfId="21" applyNumberFormat="1" applyFont="1" applyBorder="1"/>
    <xf numFmtId="3" fontId="31" fillId="0" borderId="49" xfId="21" applyNumberFormat="1" applyFont="1" applyBorder="1"/>
    <xf numFmtId="2" fontId="38" fillId="0" borderId="51" xfId="21" applyNumberFormat="1" applyFont="1" applyBorder="1"/>
    <xf numFmtId="3" fontId="38" fillId="0" borderId="53" xfId="21" applyNumberFormat="1" applyFont="1" applyBorder="1"/>
    <xf numFmtId="2" fontId="22" fillId="0" borderId="0" xfId="21" applyNumberFormat="1" applyFont="1" applyAlignment="1">
      <alignment horizontal="center"/>
    </xf>
    <xf numFmtId="0" fontId="19" fillId="0" borderId="31" xfId="21" applyBorder="1" applyAlignment="1">
      <alignment horizontal="center"/>
    </xf>
    <xf numFmtId="0" fontId="19" fillId="0" borderId="15" xfId="21" applyBorder="1"/>
    <xf numFmtId="0" fontId="19" fillId="0" borderId="30" xfId="21" applyBorder="1"/>
    <xf numFmtId="0" fontId="19" fillId="0" borderId="27" xfId="21" applyBorder="1"/>
    <xf numFmtId="0" fontId="19" fillId="0" borderId="43" xfId="21" applyBorder="1"/>
    <xf numFmtId="0" fontId="19" fillId="0" borderId="8" xfId="21" applyBorder="1"/>
    <xf numFmtId="0" fontId="19" fillId="0" borderId="0" xfId="21" applyAlignment="1">
      <alignment horizontal="center"/>
    </xf>
    <xf numFmtId="0" fontId="19" fillId="0" borderId="0" xfId="21" applyAlignment="1">
      <alignment horizontal="left" vertical="center"/>
    </xf>
    <xf numFmtId="2" fontId="22" fillId="0" borderId="0" xfId="21" applyNumberFormat="1" applyFont="1"/>
    <xf numFmtId="0" fontId="42" fillId="0" borderId="16" xfId="21" applyFont="1" applyBorder="1" applyAlignment="1">
      <alignment horizontal="center"/>
    </xf>
    <xf numFmtId="0" fontId="41" fillId="4" borderId="16" xfId="2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0" borderId="1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0" fillId="17" borderId="11" xfId="0" applyFill="1" applyBorder="1" applyAlignment="1">
      <alignment horizontal="left" vertical="center"/>
    </xf>
    <xf numFmtId="0" fontId="0" fillId="17" borderId="28" xfId="0" applyFill="1" applyBorder="1" applyAlignment="1">
      <alignment horizontal="left" vertical="center"/>
    </xf>
    <xf numFmtId="2" fontId="0" fillId="17" borderId="29" xfId="0" applyNumberFormat="1" applyFill="1" applyBorder="1" applyAlignment="1">
      <alignment horizontal="center" vertical="center"/>
    </xf>
    <xf numFmtId="2" fontId="0" fillId="17" borderId="28" xfId="0" applyNumberFormat="1" applyFill="1" applyBorder="1" applyAlignment="1">
      <alignment horizontal="center" vertical="center"/>
    </xf>
    <xf numFmtId="2" fontId="0" fillId="17" borderId="27" xfId="0" applyNumberFormat="1" applyFill="1" applyBorder="1" applyAlignment="1">
      <alignment horizontal="center" vertical="center"/>
    </xf>
    <xf numFmtId="2" fontId="0" fillId="17" borderId="19" xfId="0" applyNumberFormat="1" applyFill="1" applyBorder="1" applyAlignment="1">
      <alignment horizontal="center" vertical="center"/>
    </xf>
    <xf numFmtId="2" fontId="0" fillId="17" borderId="29" xfId="0" applyNumberFormat="1" applyFill="1" applyBorder="1" applyAlignment="1">
      <alignment horizontal="center" vertical="center" wrapText="1"/>
    </xf>
    <xf numFmtId="2" fontId="0" fillId="17" borderId="28" xfId="0" applyNumberFormat="1" applyFill="1" applyBorder="1" applyAlignment="1">
      <alignment horizontal="center" vertical="center" wrapText="1"/>
    </xf>
    <xf numFmtId="0" fontId="0" fillId="17" borderId="18" xfId="0" applyFill="1" applyBorder="1" applyAlignment="1">
      <alignment horizontal="left" vertical="center"/>
    </xf>
    <xf numFmtId="0" fontId="0" fillId="17" borderId="8" xfId="0" applyFill="1" applyBorder="1" applyAlignment="1">
      <alignment horizontal="left" vertical="center"/>
    </xf>
    <xf numFmtId="2" fontId="0" fillId="17" borderId="8" xfId="0" applyNumberFormat="1" applyFill="1" applyBorder="1" applyAlignment="1">
      <alignment horizontal="center" vertical="center"/>
    </xf>
    <xf numFmtId="0" fontId="0" fillId="4" borderId="14" xfId="0" applyFill="1" applyBorder="1">
      <alignment horizontal="left"/>
    </xf>
    <xf numFmtId="0" fontId="0" fillId="4" borderId="15" xfId="0" applyFill="1" applyBorder="1">
      <alignment horizontal="left"/>
    </xf>
    <xf numFmtId="0" fontId="0" fillId="4" borderId="16" xfId="0" applyFill="1" applyBorder="1">
      <alignment horizontal="left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>
      <alignment horizontal="left"/>
    </xf>
    <xf numFmtId="0" fontId="0" fillId="4" borderId="12" xfId="0" applyFill="1" applyBorder="1">
      <alignment horizontal="left"/>
    </xf>
    <xf numFmtId="0" fontId="0" fillId="4" borderId="1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5" borderId="11" xfId="0" applyFill="1" applyBorder="1">
      <alignment horizontal="left"/>
    </xf>
    <xf numFmtId="0" fontId="0" fillId="5" borderId="12" xfId="0" applyFill="1" applyBorder="1">
      <alignment horizontal="left"/>
    </xf>
    <xf numFmtId="0" fontId="0" fillId="5" borderId="13" xfId="0" applyFill="1" applyBorder="1">
      <alignment horizontal="left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4" borderId="5" xfId="0" applyFill="1" applyBorder="1">
      <alignment horizontal="left"/>
    </xf>
    <xf numFmtId="0" fontId="0" fillId="4" borderId="6" xfId="0" applyFill="1" applyBorder="1">
      <alignment horizontal="left"/>
    </xf>
    <xf numFmtId="0" fontId="0" fillId="4" borderId="7" xfId="0" applyFill="1" applyBorder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13" xfId="0" applyFill="1" applyBorder="1">
      <alignment horizontal="left"/>
    </xf>
    <xf numFmtId="0" fontId="8" fillId="17" borderId="1" xfId="0" applyFont="1" applyFill="1" applyBorder="1" applyAlignment="1">
      <alignment horizontal="center"/>
    </xf>
    <xf numFmtId="0" fontId="10" fillId="0" borderId="0" xfId="21" applyFont="1" applyAlignment="1">
      <alignment horizontal="left" wrapText="1"/>
    </xf>
    <xf numFmtId="0" fontId="24" fillId="20" borderId="35" xfId="30" applyFont="1" applyFill="1" applyBorder="1" applyAlignment="1">
      <alignment horizontal="center" vertical="center" wrapText="1"/>
    </xf>
    <xf numFmtId="0" fontId="24" fillId="20" borderId="26" xfId="30" applyFont="1" applyFill="1" applyBorder="1" applyAlignment="1">
      <alignment horizontal="center" vertical="center" wrapText="1"/>
    </xf>
    <xf numFmtId="0" fontId="24" fillId="17" borderId="34" xfId="21" applyFont="1" applyFill="1" applyBorder="1" applyAlignment="1">
      <alignment horizontal="center" vertical="center" wrapText="1"/>
    </xf>
    <xf numFmtId="0" fontId="24" fillId="17" borderId="36" xfId="21" applyFont="1" applyFill="1" applyBorder="1" applyAlignment="1">
      <alignment horizontal="center" vertical="center" wrapText="1"/>
    </xf>
    <xf numFmtId="0" fontId="24" fillId="17" borderId="25" xfId="21" applyFont="1" applyFill="1" applyBorder="1" applyAlignment="1">
      <alignment horizontal="center" vertical="center" wrapText="1"/>
    </xf>
    <xf numFmtId="0" fontId="5" fillId="0" borderId="2" xfId="21" applyFont="1" applyBorder="1" applyAlignment="1">
      <alignment horizontal="center"/>
    </xf>
    <xf numFmtId="0" fontId="5" fillId="0" borderId="3" xfId="21" applyFont="1" applyBorder="1" applyAlignment="1">
      <alignment horizontal="center"/>
    </xf>
    <xf numFmtId="0" fontId="5" fillId="0" borderId="4" xfId="21" applyFont="1" applyBorder="1" applyAlignment="1">
      <alignment horizontal="center"/>
    </xf>
    <xf numFmtId="0" fontId="25" fillId="17" borderId="55" xfId="21" applyFont="1" applyFill="1" applyBorder="1" applyAlignment="1">
      <alignment horizontal="center" vertical="center" wrapText="1"/>
    </xf>
    <xf numFmtId="0" fontId="26" fillId="0" borderId="1" xfId="30" applyFont="1" applyBorder="1" applyAlignment="1">
      <alignment horizontal="center" vertical="center" wrapText="1"/>
    </xf>
    <xf numFmtId="0" fontId="26" fillId="0" borderId="29" xfId="30" applyFont="1" applyBorder="1" applyAlignment="1">
      <alignment horizontal="center" vertical="center" wrapText="1"/>
    </xf>
    <xf numFmtId="0" fontId="25" fillId="17" borderId="42" xfId="21" applyFont="1" applyFill="1" applyBorder="1" applyAlignment="1">
      <alignment horizontal="center" vertical="center" wrapText="1"/>
    </xf>
    <xf numFmtId="0" fontId="26" fillId="0" borderId="60" xfId="30" applyFont="1" applyBorder="1" applyAlignment="1">
      <alignment horizontal="center" vertical="center" wrapText="1"/>
    </xf>
    <xf numFmtId="0" fontId="26" fillId="0" borderId="27" xfId="30" applyFont="1" applyBorder="1" applyAlignment="1">
      <alignment horizontal="center" vertical="center" wrapText="1"/>
    </xf>
    <xf numFmtId="2" fontId="37" fillId="0" borderId="55" xfId="21" applyNumberFormat="1" applyFont="1" applyBorder="1" applyAlignment="1">
      <alignment horizontal="center" vertical="center" wrapText="1"/>
    </xf>
    <xf numFmtId="2" fontId="37" fillId="0" borderId="56" xfId="21" applyNumberFormat="1" applyFont="1" applyBorder="1" applyAlignment="1">
      <alignment horizontal="center" vertical="center" wrapText="1"/>
    </xf>
    <xf numFmtId="2" fontId="37" fillId="0" borderId="28" xfId="21" applyNumberFormat="1" applyFont="1" applyBorder="1" applyAlignment="1">
      <alignment horizontal="center" vertical="center" wrapText="1"/>
    </xf>
    <xf numFmtId="0" fontId="19" fillId="5" borderId="11" xfId="21" applyFill="1" applyBorder="1" applyAlignment="1">
      <alignment horizontal="left"/>
    </xf>
    <xf numFmtId="0" fontId="19" fillId="5" borderId="12" xfId="21" applyFill="1" applyBorder="1" applyAlignment="1">
      <alignment horizontal="left"/>
    </xf>
    <xf numFmtId="0" fontId="19" fillId="5" borderId="13" xfId="21" applyFill="1" applyBorder="1" applyAlignment="1">
      <alignment horizontal="left"/>
    </xf>
    <xf numFmtId="0" fontId="19" fillId="5" borderId="11" xfId="21" applyFill="1" applyBorder="1" applyAlignment="1">
      <alignment horizontal="center"/>
    </xf>
    <xf numFmtId="0" fontId="19" fillId="5" borderId="13" xfId="21" applyFill="1" applyBorder="1" applyAlignment="1">
      <alignment horizontal="center"/>
    </xf>
    <xf numFmtId="0" fontId="19" fillId="4" borderId="14" xfId="21" applyFill="1" applyBorder="1" applyAlignment="1">
      <alignment horizontal="left"/>
    </xf>
    <xf numFmtId="0" fontId="19" fillId="4" borderId="15" xfId="21" applyFill="1" applyBorder="1" applyAlignment="1">
      <alignment horizontal="left"/>
    </xf>
    <xf numFmtId="0" fontId="19" fillId="4" borderId="16" xfId="21" applyFill="1" applyBorder="1" applyAlignment="1">
      <alignment horizontal="left"/>
    </xf>
    <xf numFmtId="0" fontId="27" fillId="4" borderId="11" xfId="21" applyFont="1" applyFill="1" applyBorder="1" applyAlignment="1">
      <alignment horizontal="center" wrapText="1"/>
    </xf>
    <xf numFmtId="0" fontId="27" fillId="4" borderId="13" xfId="21" applyFont="1" applyFill="1" applyBorder="1" applyAlignment="1">
      <alignment horizontal="center" wrapText="1"/>
    </xf>
    <xf numFmtId="2" fontId="37" fillId="0" borderId="8" xfId="21" applyNumberFormat="1" applyFont="1" applyBorder="1" applyAlignment="1">
      <alignment horizontal="center" vertical="center" wrapText="1"/>
    </xf>
    <xf numFmtId="2" fontId="37" fillId="0" borderId="9" xfId="21" applyNumberFormat="1" applyFont="1" applyBorder="1" applyAlignment="1">
      <alignment horizontal="center" vertical="center" wrapText="1"/>
    </xf>
    <xf numFmtId="0" fontId="19" fillId="4" borderId="5" xfId="21" applyFill="1" applyBorder="1" applyAlignment="1">
      <alignment horizontal="left"/>
    </xf>
    <xf numFmtId="0" fontId="19" fillId="4" borderId="6" xfId="21" applyFill="1" applyBorder="1" applyAlignment="1">
      <alignment horizontal="left"/>
    </xf>
    <xf numFmtId="0" fontId="19" fillId="4" borderId="7" xfId="21" applyFill="1" applyBorder="1" applyAlignment="1">
      <alignment horizontal="left"/>
    </xf>
    <xf numFmtId="0" fontId="27" fillId="4" borderId="8" xfId="21" applyFont="1" applyFill="1" applyBorder="1" applyAlignment="1">
      <alignment horizontal="center"/>
    </xf>
    <xf numFmtId="0" fontId="27" fillId="4" borderId="9" xfId="21" applyFont="1" applyFill="1" applyBorder="1" applyAlignment="1">
      <alignment horizontal="center"/>
    </xf>
    <xf numFmtId="0" fontId="19" fillId="4" borderId="11" xfId="21" applyFill="1" applyBorder="1" applyAlignment="1">
      <alignment horizontal="left"/>
    </xf>
    <xf numFmtId="0" fontId="19" fillId="4" borderId="12" xfId="21" applyFill="1" applyBorder="1" applyAlignment="1">
      <alignment horizontal="left"/>
    </xf>
    <xf numFmtId="0" fontId="19" fillId="4" borderId="13" xfId="21" applyFill="1" applyBorder="1" applyAlignment="1">
      <alignment horizontal="left"/>
    </xf>
    <xf numFmtId="2" fontId="37" fillId="0" borderId="42" xfId="21" applyNumberFormat="1" applyFont="1" applyBorder="1" applyAlignment="1">
      <alignment horizontal="center" vertical="center" wrapText="1"/>
    </xf>
    <xf numFmtId="0" fontId="19" fillId="5" borderId="23" xfId="21" applyFill="1" applyBorder="1" applyAlignment="1">
      <alignment horizontal="center" vertical="center"/>
    </xf>
    <xf numFmtId="0" fontId="19" fillId="5" borderId="24" xfId="21" applyFill="1" applyBorder="1" applyAlignment="1">
      <alignment horizontal="center" vertical="center"/>
    </xf>
    <xf numFmtId="0" fontId="19" fillId="0" borderId="47" xfId="21" applyBorder="1" applyAlignment="1">
      <alignment horizontal="center" vertical="center"/>
    </xf>
    <xf numFmtId="0" fontId="19" fillId="0" borderId="48" xfId="21" applyBorder="1" applyAlignment="1">
      <alignment horizontal="center" vertical="center"/>
    </xf>
    <xf numFmtId="0" fontId="19" fillId="0" borderId="49" xfId="21" applyBorder="1" applyAlignment="1">
      <alignment horizontal="center" vertical="center"/>
    </xf>
    <xf numFmtId="0" fontId="19" fillId="0" borderId="51" xfId="21" applyBorder="1" applyAlignment="1">
      <alignment horizontal="center" vertical="center"/>
    </xf>
    <xf numFmtId="0" fontId="19" fillId="0" borderId="52" xfId="21" applyBorder="1" applyAlignment="1">
      <alignment horizontal="center" vertical="center"/>
    </xf>
    <xf numFmtId="0" fontId="19" fillId="0" borderId="53" xfId="21" applyBorder="1" applyAlignment="1">
      <alignment horizontal="center" vertical="center"/>
    </xf>
    <xf numFmtId="0" fontId="22" fillId="17" borderId="55" xfId="21" applyFont="1" applyFill="1" applyBorder="1" applyAlignment="1">
      <alignment horizontal="left" vertical="center" wrapText="1"/>
    </xf>
    <xf numFmtId="0" fontId="22" fillId="17" borderId="1" xfId="21" applyFont="1" applyFill="1" applyBorder="1" applyAlignment="1">
      <alignment horizontal="left" vertical="center" wrapText="1"/>
    </xf>
    <xf numFmtId="0" fontId="22" fillId="17" borderId="56" xfId="21" applyFont="1" applyFill="1" applyBorder="1" applyAlignment="1">
      <alignment horizontal="left" vertical="center" wrapText="1"/>
    </xf>
    <xf numFmtId="0" fontId="22" fillId="17" borderId="51" xfId="21" applyFont="1" applyFill="1" applyBorder="1" applyAlignment="1">
      <alignment horizontal="left" vertical="center" wrapText="1"/>
    </xf>
    <xf numFmtId="0" fontId="22" fillId="17" borderId="52" xfId="21" applyFont="1" applyFill="1" applyBorder="1" applyAlignment="1">
      <alignment horizontal="left" vertical="center" wrapText="1"/>
    </xf>
    <xf numFmtId="0" fontId="22" fillId="17" borderId="53" xfId="21" applyFont="1" applyFill="1" applyBorder="1" applyAlignment="1">
      <alignment horizontal="left" vertical="center" wrapText="1"/>
    </xf>
    <xf numFmtId="0" fontId="22" fillId="17" borderId="42" xfId="21" applyFont="1" applyFill="1" applyBorder="1" applyAlignment="1">
      <alignment horizontal="left" vertical="center"/>
    </xf>
    <xf numFmtId="0" fontId="22" fillId="17" borderId="60" xfId="21" applyFont="1" applyFill="1" applyBorder="1" applyAlignment="1">
      <alignment horizontal="left" vertical="center"/>
    </xf>
    <xf numFmtId="0" fontId="22" fillId="17" borderId="9" xfId="21" applyFont="1" applyFill="1" applyBorder="1" applyAlignment="1">
      <alignment horizontal="left" vertical="center"/>
    </xf>
    <xf numFmtId="0" fontId="22" fillId="17" borderId="44" xfId="21" applyFont="1" applyFill="1" applyBorder="1" applyAlignment="1">
      <alignment horizontal="left" vertical="center" wrapText="1"/>
    </xf>
    <xf numFmtId="0" fontId="22" fillId="17" borderId="59" xfId="21" applyFont="1" applyFill="1" applyBorder="1" applyAlignment="1">
      <alignment horizontal="left" vertical="center" wrapText="1"/>
    </xf>
    <xf numFmtId="0" fontId="22" fillId="17" borderId="64" xfId="21" applyFont="1" applyFill="1" applyBorder="1" applyAlignment="1">
      <alignment horizontal="left" vertical="center" wrapText="1"/>
    </xf>
    <xf numFmtId="0" fontId="22" fillId="17" borderId="47" xfId="21" applyFont="1" applyFill="1" applyBorder="1" applyAlignment="1">
      <alignment horizontal="left" vertical="center" wrapText="1"/>
    </xf>
    <xf numFmtId="0" fontId="22" fillId="17" borderId="48" xfId="21" applyFont="1" applyFill="1" applyBorder="1" applyAlignment="1">
      <alignment horizontal="left" vertical="center" wrapText="1"/>
    </xf>
    <xf numFmtId="0" fontId="22" fillId="17" borderId="49" xfId="21" applyFont="1" applyFill="1" applyBorder="1" applyAlignment="1">
      <alignment horizontal="left" vertical="center" wrapText="1"/>
    </xf>
    <xf numFmtId="2" fontId="37" fillId="0" borderId="14" xfId="21" applyNumberFormat="1" applyFont="1" applyBorder="1" applyAlignment="1">
      <alignment horizontal="center" vertical="center" wrapText="1"/>
    </xf>
    <xf numFmtId="2" fontId="37" fillId="0" borderId="16" xfId="21" applyNumberFormat="1" applyFont="1" applyBorder="1" applyAlignment="1">
      <alignment horizontal="center" vertical="center" wrapText="1"/>
    </xf>
    <xf numFmtId="2" fontId="37" fillId="0" borderId="18" xfId="21" applyNumberFormat="1" applyFont="1" applyBorder="1" applyAlignment="1">
      <alignment horizontal="center" vertical="center" wrapText="1"/>
    </xf>
    <xf numFmtId="2" fontId="37" fillId="0" borderId="19" xfId="21" applyNumberFormat="1" applyFont="1" applyBorder="1" applyAlignment="1">
      <alignment horizontal="center" vertical="center" wrapText="1"/>
    </xf>
    <xf numFmtId="0" fontId="8" fillId="3" borderId="59" xfId="21" applyFont="1" applyFill="1" applyBorder="1" applyAlignment="1">
      <alignment horizontal="center" vertical="center"/>
    </xf>
    <xf numFmtId="0" fontId="8" fillId="3" borderId="60" xfId="21" applyFont="1" applyFill="1" applyBorder="1" applyAlignment="1">
      <alignment horizontal="center" vertical="center"/>
    </xf>
    <xf numFmtId="2" fontId="37" fillId="0" borderId="54" xfId="21" applyNumberFormat="1" applyFont="1" applyBorder="1" applyAlignment="1">
      <alignment horizontal="center" vertical="center" wrapText="1"/>
    </xf>
    <xf numFmtId="2" fontId="37" fillId="0" borderId="53" xfId="21" applyNumberFormat="1" applyFont="1" applyBorder="1" applyAlignment="1">
      <alignment horizontal="center" vertical="center" wrapText="1"/>
    </xf>
    <xf numFmtId="0" fontId="22" fillId="0" borderId="0" xfId="21" applyFont="1" applyAlignment="1">
      <alignment horizontal="left" wrapText="1"/>
    </xf>
    <xf numFmtId="0" fontId="25" fillId="17" borderId="51" xfId="21" applyFont="1" applyFill="1" applyBorder="1" applyAlignment="1">
      <alignment horizontal="center" vertical="center" wrapText="1"/>
    </xf>
    <xf numFmtId="0" fontId="26" fillId="0" borderId="52" xfId="30" applyFont="1" applyBorder="1" applyAlignment="1">
      <alignment horizontal="center" vertical="center" wrapText="1"/>
    </xf>
    <xf numFmtId="0" fontId="26" fillId="0" borderId="65" xfId="30" applyFont="1" applyBorder="1" applyAlignment="1">
      <alignment horizontal="center" vertical="center" wrapText="1"/>
    </xf>
    <xf numFmtId="2" fontId="37" fillId="0" borderId="21" xfId="21" applyNumberFormat="1" applyFont="1" applyBorder="1" applyAlignment="1">
      <alignment horizontal="center" vertical="center" wrapText="1"/>
    </xf>
    <xf numFmtId="2" fontId="37" fillId="0" borderId="24" xfId="21" applyNumberFormat="1" applyFont="1" applyBorder="1" applyAlignment="1">
      <alignment horizontal="center" vertical="center" wrapText="1"/>
    </xf>
    <xf numFmtId="0" fontId="19" fillId="0" borderId="0" xfId="21" applyAlignment="1">
      <alignment horizontal="left" wrapText="1"/>
    </xf>
    <xf numFmtId="2" fontId="38" fillId="0" borderId="8" xfId="21" applyNumberFormat="1" applyFont="1" applyBorder="1" applyAlignment="1">
      <alignment horizontal="center" vertical="center"/>
    </xf>
    <xf numFmtId="2" fontId="38" fillId="0" borderId="28" xfId="21" applyNumberFormat="1" applyFont="1" applyBorder="1" applyAlignment="1">
      <alignment horizontal="center" vertical="center"/>
    </xf>
    <xf numFmtId="0" fontId="22" fillId="17" borderId="14" xfId="21" applyFont="1" applyFill="1" applyBorder="1" applyAlignment="1">
      <alignment horizontal="left" vertical="center"/>
    </xf>
    <xf numFmtId="0" fontId="22" fillId="17" borderId="15" xfId="21" applyFont="1" applyFill="1" applyBorder="1" applyAlignment="1">
      <alignment horizontal="left" vertical="center"/>
    </xf>
    <xf numFmtId="0" fontId="22" fillId="17" borderId="16" xfId="21" applyFont="1" applyFill="1" applyBorder="1" applyAlignment="1">
      <alignment horizontal="left" vertical="center"/>
    </xf>
    <xf numFmtId="0" fontId="22" fillId="17" borderId="21" xfId="21" applyFont="1" applyFill="1" applyBorder="1" applyAlignment="1">
      <alignment horizontal="left" vertical="center"/>
    </xf>
    <xf numFmtId="0" fontId="22" fillId="17" borderId="23" xfId="21" applyFont="1" applyFill="1" applyBorder="1" applyAlignment="1">
      <alignment horizontal="left" vertical="center"/>
    </xf>
    <xf numFmtId="0" fontId="22" fillId="17" borderId="24" xfId="21" applyFont="1" applyFill="1" applyBorder="1" applyAlignment="1">
      <alignment horizontal="left" vertical="center"/>
    </xf>
    <xf numFmtId="2" fontId="38" fillId="0" borderId="42" xfId="21" applyNumberFormat="1" applyFont="1" applyBorder="1" applyAlignment="1">
      <alignment horizontal="center" vertical="center"/>
    </xf>
    <xf numFmtId="2" fontId="38" fillId="0" borderId="51" xfId="21" applyNumberFormat="1" applyFont="1" applyBorder="1" applyAlignment="1">
      <alignment horizontal="center" vertical="center"/>
    </xf>
    <xf numFmtId="3" fontId="38" fillId="0" borderId="9" xfId="21" applyNumberFormat="1" applyFont="1" applyBorder="1" applyAlignment="1">
      <alignment horizontal="center" vertical="center"/>
    </xf>
    <xf numFmtId="3" fontId="38" fillId="0" borderId="53" xfId="21" applyNumberFormat="1" applyFont="1" applyBorder="1" applyAlignment="1">
      <alignment horizontal="center" vertical="center"/>
    </xf>
    <xf numFmtId="2" fontId="38" fillId="0" borderId="54" xfId="21" applyNumberFormat="1" applyFont="1" applyBorder="1" applyAlignment="1">
      <alignment horizontal="center" vertical="center"/>
    </xf>
    <xf numFmtId="0" fontId="25" fillId="17" borderId="44" xfId="21" applyFont="1" applyFill="1" applyBorder="1" applyAlignment="1">
      <alignment horizontal="center" vertical="center" wrapText="1"/>
    </xf>
    <xf numFmtId="0" fontId="26" fillId="0" borderId="31" xfId="21" applyFont="1" applyBorder="1" applyAlignment="1">
      <alignment horizontal="center" vertical="center" wrapText="1"/>
    </xf>
    <xf numFmtId="0" fontId="26" fillId="0" borderId="15" xfId="21" applyFont="1" applyBorder="1" applyAlignment="1">
      <alignment horizontal="center" vertical="center" wrapText="1"/>
    </xf>
    <xf numFmtId="0" fontId="26" fillId="0" borderId="16" xfId="21" applyFont="1" applyBorder="1" applyAlignment="1">
      <alignment horizontal="center" vertical="center" wrapText="1"/>
    </xf>
    <xf numFmtId="0" fontId="26" fillId="0" borderId="27" xfId="21" applyFont="1" applyBorder="1" applyAlignment="1">
      <alignment horizontal="center" vertical="center" wrapText="1"/>
    </xf>
    <xf numFmtId="0" fontId="26" fillId="0" borderId="43" xfId="21" applyFont="1" applyBorder="1" applyAlignment="1">
      <alignment horizontal="center" vertical="center" wrapText="1"/>
    </xf>
    <xf numFmtId="0" fontId="26" fillId="0" borderId="19" xfId="21" applyFont="1" applyBorder="1" applyAlignment="1">
      <alignment horizontal="center" vertical="center" wrapText="1"/>
    </xf>
    <xf numFmtId="0" fontId="26" fillId="0" borderId="14" xfId="21" applyFont="1" applyBorder="1" applyAlignment="1">
      <alignment horizontal="center" vertical="center" wrapText="1"/>
    </xf>
    <xf numFmtId="0" fontId="26" fillId="0" borderId="18" xfId="21" applyFont="1" applyBorder="1" applyAlignment="1">
      <alignment horizontal="center" vertical="center" wrapText="1"/>
    </xf>
    <xf numFmtId="2" fontId="26" fillId="0" borderId="14" xfId="21" applyNumberFormat="1" applyFont="1" applyBorder="1" applyAlignment="1">
      <alignment horizontal="center" vertical="center" wrapText="1"/>
    </xf>
    <xf numFmtId="2" fontId="26" fillId="0" borderId="16" xfId="21" applyNumberFormat="1" applyFont="1" applyBorder="1" applyAlignment="1">
      <alignment horizontal="center" vertical="center" wrapText="1"/>
    </xf>
    <xf numFmtId="2" fontId="26" fillId="0" borderId="18" xfId="21" applyNumberFormat="1" applyFont="1" applyBorder="1" applyAlignment="1">
      <alignment horizontal="center" vertical="center" wrapText="1"/>
    </xf>
    <xf numFmtId="2" fontId="26" fillId="0" borderId="19" xfId="21" applyNumberFormat="1" applyFont="1" applyBorder="1" applyAlignment="1">
      <alignment horizontal="center" vertical="center" wrapText="1"/>
    </xf>
    <xf numFmtId="3" fontId="38" fillId="0" borderId="56" xfId="21" applyNumberFormat="1" applyFont="1" applyBorder="1" applyAlignment="1">
      <alignment horizontal="center" vertical="center"/>
    </xf>
    <xf numFmtId="0" fontId="25" fillId="17" borderId="57" xfId="21" applyFont="1" applyFill="1" applyBorder="1" applyAlignment="1">
      <alignment horizontal="center" vertical="center" wrapText="1"/>
    </xf>
    <xf numFmtId="0" fontId="30" fillId="19" borderId="63" xfId="21" applyFont="1" applyFill="1" applyBorder="1" applyAlignment="1">
      <alignment horizontal="left" vertical="center" wrapText="1"/>
    </xf>
    <xf numFmtId="0" fontId="30" fillId="19" borderId="0" xfId="21" applyFont="1" applyFill="1" applyAlignment="1">
      <alignment horizontal="left" vertical="center" wrapText="1"/>
    </xf>
    <xf numFmtId="0" fontId="26" fillId="0" borderId="58" xfId="21" applyFont="1" applyBorder="1" applyAlignment="1">
      <alignment horizontal="center" vertical="center" wrapText="1"/>
    </xf>
    <xf numFmtId="0" fontId="26" fillId="0" borderId="23" xfId="21" applyFont="1" applyBorder="1" applyAlignment="1">
      <alignment horizontal="center" vertical="center" wrapText="1"/>
    </xf>
    <xf numFmtId="0" fontId="26" fillId="0" borderId="24" xfId="21" applyFont="1" applyBorder="1" applyAlignment="1">
      <alignment horizontal="center" vertical="center" wrapText="1"/>
    </xf>
    <xf numFmtId="0" fontId="26" fillId="0" borderId="21" xfId="21" applyFont="1" applyBorder="1" applyAlignment="1">
      <alignment horizontal="center" vertical="center" wrapText="1"/>
    </xf>
    <xf numFmtId="2" fontId="26" fillId="0" borderId="21" xfId="21" applyNumberFormat="1" applyFont="1" applyBorder="1" applyAlignment="1">
      <alignment horizontal="center" vertical="center" wrapText="1"/>
    </xf>
    <xf numFmtId="2" fontId="26" fillId="0" borderId="24" xfId="21" applyNumberFormat="1" applyFont="1" applyBorder="1" applyAlignment="1">
      <alignment horizontal="center" vertical="center" wrapText="1"/>
    </xf>
    <xf numFmtId="2" fontId="26" fillId="0" borderId="10" xfId="21" applyNumberFormat="1" applyFont="1" applyBorder="1" applyAlignment="1">
      <alignment horizontal="center" vertical="center" wrapText="1"/>
    </xf>
    <xf numFmtId="2" fontId="26" fillId="0" borderId="17" xfId="21" applyNumberFormat="1" applyFont="1" applyBorder="1" applyAlignment="1">
      <alignment horizontal="center" vertical="center" wrapText="1"/>
    </xf>
    <xf numFmtId="0" fontId="22" fillId="17" borderId="18" xfId="21" applyFont="1" applyFill="1" applyBorder="1" applyAlignment="1">
      <alignment horizontal="left" vertical="center"/>
    </xf>
    <xf numFmtId="0" fontId="22" fillId="17" borderId="43" xfId="21" applyFont="1" applyFill="1" applyBorder="1" applyAlignment="1">
      <alignment horizontal="left" vertical="center"/>
    </xf>
    <xf numFmtId="0" fontId="22" fillId="17" borderId="19" xfId="21" applyFont="1" applyFill="1" applyBorder="1" applyAlignment="1">
      <alignment horizontal="left" vertical="center"/>
    </xf>
    <xf numFmtId="2" fontId="38" fillId="0" borderId="55" xfId="21" applyNumberFormat="1" applyFont="1" applyBorder="1" applyAlignment="1">
      <alignment horizontal="center" vertical="center"/>
    </xf>
    <xf numFmtId="0" fontId="22" fillId="0" borderId="47" xfId="21" applyFont="1" applyBorder="1" applyAlignment="1">
      <alignment horizontal="center" vertical="center"/>
    </xf>
    <xf numFmtId="0" fontId="22" fillId="0" borderId="49" xfId="21" applyFont="1" applyBorder="1" applyAlignment="1">
      <alignment horizontal="center" vertical="center"/>
    </xf>
    <xf numFmtId="0" fontId="22" fillId="0" borderId="50" xfId="21" applyFont="1" applyBorder="1" applyAlignment="1">
      <alignment horizontal="center" vertical="center"/>
    </xf>
    <xf numFmtId="0" fontId="22" fillId="17" borderId="41" xfId="21" applyFont="1" applyFill="1" applyBorder="1" applyAlignment="1">
      <alignment horizontal="left" vertical="center"/>
    </xf>
    <xf numFmtId="0" fontId="22" fillId="17" borderId="39" xfId="21" applyFont="1" applyFill="1" applyBorder="1" applyAlignment="1">
      <alignment horizontal="left" vertical="center"/>
    </xf>
    <xf numFmtId="0" fontId="22" fillId="17" borderId="40" xfId="21" applyFont="1" applyFill="1" applyBorder="1" applyAlignment="1">
      <alignment horizontal="left" vertical="center"/>
    </xf>
    <xf numFmtId="0" fontId="25" fillId="17" borderId="45" xfId="21" applyFont="1" applyFill="1" applyBorder="1" applyAlignment="1">
      <alignment horizontal="center" vertical="center" wrapText="1"/>
    </xf>
    <xf numFmtId="0" fontId="26" fillId="0" borderId="46" xfId="21" applyFont="1" applyBorder="1" applyAlignment="1">
      <alignment horizontal="center" vertical="center" wrapText="1"/>
    </xf>
    <xf numFmtId="0" fontId="26" fillId="0" borderId="0" xfId="21" applyFont="1" applyAlignment="1">
      <alignment horizontal="center" vertical="center" wrapText="1"/>
    </xf>
    <xf numFmtId="0" fontId="26" fillId="0" borderId="17" xfId="21" applyFont="1" applyBorder="1" applyAlignment="1">
      <alignment horizontal="center" vertical="center" wrapText="1"/>
    </xf>
    <xf numFmtId="0" fontId="26" fillId="0" borderId="10" xfId="21" applyFont="1" applyBorder="1" applyAlignment="1">
      <alignment horizontal="center" vertical="center" wrapText="1"/>
    </xf>
    <xf numFmtId="0" fontId="22" fillId="0" borderId="48" xfId="21" applyFont="1" applyBorder="1" applyAlignment="1">
      <alignment horizontal="center" vertical="center"/>
    </xf>
    <xf numFmtId="0" fontId="22" fillId="0" borderId="51" xfId="21" applyFont="1" applyBorder="1" applyAlignment="1">
      <alignment horizontal="center" vertical="center"/>
    </xf>
    <xf numFmtId="0" fontId="22" fillId="0" borderId="52" xfId="21" applyFont="1" applyBorder="1" applyAlignment="1">
      <alignment horizontal="center" vertical="center"/>
    </xf>
    <xf numFmtId="0" fontId="22" fillId="0" borderId="53" xfId="21" applyFont="1" applyBorder="1" applyAlignment="1">
      <alignment horizontal="center" vertical="center"/>
    </xf>
    <xf numFmtId="0" fontId="19" fillId="0" borderId="14" xfId="21" applyBorder="1" applyAlignment="1">
      <alignment horizontal="center"/>
    </xf>
    <xf numFmtId="0" fontId="19" fillId="0" borderId="16" xfId="21" applyBorder="1" applyAlignment="1">
      <alignment horizontal="center"/>
    </xf>
    <xf numFmtId="0" fontId="19" fillId="0" borderId="18" xfId="21" applyBorder="1" applyAlignment="1">
      <alignment horizontal="center"/>
    </xf>
    <xf numFmtId="0" fontId="19" fillId="0" borderId="19" xfId="21" applyBorder="1" applyAlignment="1">
      <alignment horizontal="center"/>
    </xf>
    <xf numFmtId="0" fontId="25" fillId="17" borderId="37" xfId="21" applyFont="1" applyFill="1" applyBorder="1" applyAlignment="1">
      <alignment horizontal="center" vertical="center" wrapText="1"/>
    </xf>
    <xf numFmtId="0" fontId="26" fillId="0" borderId="38" xfId="21" applyFont="1" applyBorder="1" applyAlignment="1">
      <alignment horizontal="center" vertical="center" wrapText="1"/>
    </xf>
    <xf numFmtId="0" fontId="26" fillId="0" borderId="39" xfId="21" applyFont="1" applyBorder="1" applyAlignment="1">
      <alignment horizontal="center" vertical="center" wrapText="1"/>
    </xf>
    <xf numFmtId="0" fontId="26" fillId="0" borderId="40" xfId="21" applyFont="1" applyBorder="1" applyAlignment="1">
      <alignment horizontal="center" vertical="center" wrapText="1"/>
    </xf>
    <xf numFmtId="0" fontId="19" fillId="0" borderId="41" xfId="21" applyBorder="1" applyAlignment="1">
      <alignment horizontal="center"/>
    </xf>
    <xf numFmtId="0" fontId="19" fillId="0" borderId="40" xfId="21" applyBorder="1" applyAlignment="1">
      <alignment horizontal="center"/>
    </xf>
    <xf numFmtId="2" fontId="26" fillId="0" borderId="41" xfId="21" applyNumberFormat="1" applyFont="1" applyBorder="1" applyAlignment="1">
      <alignment horizontal="center" vertical="center" wrapText="1"/>
    </xf>
    <xf numFmtId="2" fontId="26" fillId="0" borderId="40" xfId="21" applyNumberFormat="1" applyFont="1" applyBorder="1" applyAlignment="1">
      <alignment horizontal="center" vertical="center" wrapText="1"/>
    </xf>
    <xf numFmtId="0" fontId="24" fillId="17" borderId="35" xfId="21" applyFont="1" applyFill="1" applyBorder="1" applyAlignment="1">
      <alignment horizontal="center" vertical="center" wrapText="1"/>
    </xf>
    <xf numFmtId="0" fontId="24" fillId="17" borderId="26" xfId="21" applyFont="1" applyFill="1" applyBorder="1" applyAlignment="1">
      <alignment horizontal="center" vertical="center" wrapText="1"/>
    </xf>
    <xf numFmtId="0" fontId="24" fillId="20" borderId="35" xfId="31" applyFont="1" applyFill="1" applyBorder="1" applyAlignment="1">
      <alignment horizontal="center" vertical="center" wrapText="1"/>
    </xf>
    <xf numFmtId="0" fontId="24" fillId="20" borderId="26" xfId="31" applyFont="1" applyFill="1" applyBorder="1" applyAlignment="1">
      <alignment horizontal="center" vertical="center" wrapText="1"/>
    </xf>
    <xf numFmtId="0" fontId="27" fillId="4" borderId="8" xfId="21" applyFont="1" applyFill="1" applyBorder="1" applyAlignment="1">
      <alignment horizontal="left"/>
    </xf>
    <xf numFmtId="0" fontId="27" fillId="4" borderId="9" xfId="21" applyFont="1" applyFill="1" applyBorder="1" applyAlignment="1">
      <alignment horizontal="left"/>
    </xf>
    <xf numFmtId="0" fontId="19" fillId="0" borderId="10" xfId="21" applyBorder="1" applyAlignment="1">
      <alignment horizontal="left" vertical="top" wrapText="1"/>
    </xf>
    <xf numFmtId="0" fontId="19" fillId="0" borderId="0" xfId="21" applyAlignment="1">
      <alignment horizontal="left" vertical="top" wrapText="1"/>
    </xf>
    <xf numFmtId="0" fontId="19" fillId="4" borderId="11" xfId="21" applyFill="1" applyBorder="1" applyAlignment="1">
      <alignment horizontal="left" wrapText="1"/>
    </xf>
    <xf numFmtId="0" fontId="19" fillId="4" borderId="12" xfId="21" applyFill="1" applyBorder="1" applyAlignment="1">
      <alignment horizontal="left" wrapText="1"/>
    </xf>
    <xf numFmtId="0" fontId="19" fillId="4" borderId="13" xfId="21" applyFill="1" applyBorder="1" applyAlignment="1">
      <alignment horizontal="left" wrapText="1"/>
    </xf>
    <xf numFmtId="0" fontId="27" fillId="4" borderId="11" xfId="21" applyFont="1" applyFill="1" applyBorder="1" applyAlignment="1">
      <alignment horizontal="left" wrapText="1"/>
    </xf>
    <xf numFmtId="0" fontId="27" fillId="4" borderId="13" xfId="21" applyFont="1" applyFill="1" applyBorder="1" applyAlignment="1">
      <alignment horizontal="left" wrapText="1"/>
    </xf>
    <xf numFmtId="0" fontId="27" fillId="4" borderId="11" xfId="21" applyFont="1" applyFill="1" applyBorder="1" applyAlignment="1">
      <alignment horizontal="left"/>
    </xf>
    <xf numFmtId="0" fontId="27" fillId="4" borderId="13" xfId="21" applyFont="1" applyFill="1" applyBorder="1" applyAlignment="1">
      <alignment horizontal="left"/>
    </xf>
    <xf numFmtId="0" fontId="19" fillId="5" borderId="66" xfId="21" applyFill="1" applyBorder="1" applyAlignment="1">
      <alignment horizontal="left" vertical="center"/>
    </xf>
    <xf numFmtId="0" fontId="19" fillId="5" borderId="20" xfId="21" applyFill="1" applyBorder="1" applyAlignment="1">
      <alignment horizontal="left" vertical="center"/>
    </xf>
    <xf numFmtId="0" fontId="22" fillId="17" borderId="5" xfId="21" applyFont="1" applyFill="1" applyBorder="1" applyAlignment="1">
      <alignment horizontal="left" vertical="center" wrapText="1"/>
    </xf>
    <xf numFmtId="0" fontId="22" fillId="17" borderId="6" xfId="21" applyFont="1" applyFill="1" applyBorder="1" applyAlignment="1">
      <alignment horizontal="left" vertical="center" wrapText="1"/>
    </xf>
    <xf numFmtId="0" fontId="22" fillId="17" borderId="7" xfId="21" applyFont="1" applyFill="1" applyBorder="1" applyAlignment="1">
      <alignment horizontal="left" vertical="center" wrapText="1"/>
    </xf>
    <xf numFmtId="0" fontId="22" fillId="17" borderId="11" xfId="21" applyFont="1" applyFill="1" applyBorder="1" applyAlignment="1">
      <alignment horizontal="left" vertical="center" wrapText="1"/>
    </xf>
    <xf numFmtId="0" fontId="22" fillId="17" borderId="12" xfId="21" applyFont="1" applyFill="1" applyBorder="1" applyAlignment="1">
      <alignment horizontal="left" vertical="center" wrapText="1"/>
    </xf>
    <xf numFmtId="0" fontId="22" fillId="17" borderId="13" xfId="21" applyFont="1" applyFill="1" applyBorder="1" applyAlignment="1">
      <alignment horizontal="left" vertical="center" wrapText="1"/>
    </xf>
    <xf numFmtId="0" fontId="22" fillId="17" borderId="66" xfId="21" applyFont="1" applyFill="1" applyBorder="1" applyAlignment="1">
      <alignment horizontal="left" vertical="center" wrapText="1"/>
    </xf>
    <xf numFmtId="0" fontId="22" fillId="17" borderId="67" xfId="21" applyFont="1" applyFill="1" applyBorder="1" applyAlignment="1">
      <alignment horizontal="left" vertical="center" wrapText="1"/>
    </xf>
    <xf numFmtId="0" fontId="22" fillId="17" borderId="20" xfId="21" applyFont="1" applyFill="1" applyBorder="1" applyAlignment="1">
      <alignment horizontal="left" vertical="center" wrapText="1"/>
    </xf>
    <xf numFmtId="0" fontId="39" fillId="0" borderId="0" xfId="21" applyFont="1" applyAlignment="1">
      <alignment horizontal="left" vertical="top" wrapText="1"/>
    </xf>
    <xf numFmtId="0" fontId="19" fillId="5" borderId="11" xfId="21" applyFill="1" applyBorder="1" applyAlignment="1">
      <alignment horizontal="left" wrapText="1"/>
    </xf>
    <xf numFmtId="0" fontId="19" fillId="5" borderId="12" xfId="21" applyFill="1" applyBorder="1" applyAlignment="1">
      <alignment horizontal="left" wrapText="1"/>
    </xf>
    <xf numFmtId="0" fontId="19" fillId="5" borderId="13" xfId="21" applyFill="1" applyBorder="1" applyAlignment="1">
      <alignment horizontal="left" wrapText="1"/>
    </xf>
    <xf numFmtId="0" fontId="27" fillId="4" borderId="14" xfId="21" applyFont="1" applyFill="1" applyBorder="1" applyAlignment="1">
      <alignment horizontal="center" vertical="center" wrapText="1"/>
    </xf>
    <xf numFmtId="0" fontId="27" fillId="4" borderId="16" xfId="21" applyFont="1" applyFill="1" applyBorder="1" applyAlignment="1">
      <alignment horizontal="center" vertical="center" wrapText="1"/>
    </xf>
    <xf numFmtId="0" fontId="27" fillId="4" borderId="10" xfId="21" applyFont="1" applyFill="1" applyBorder="1" applyAlignment="1">
      <alignment horizontal="center" vertical="center" wrapText="1"/>
    </xf>
    <xf numFmtId="0" fontId="27" fillId="4" borderId="17" xfId="21" applyFont="1" applyFill="1" applyBorder="1" applyAlignment="1">
      <alignment horizontal="center" vertical="center" wrapText="1"/>
    </xf>
    <xf numFmtId="0" fontId="27" fillId="4" borderId="18" xfId="21" applyFont="1" applyFill="1" applyBorder="1" applyAlignment="1">
      <alignment horizontal="center" vertical="center" wrapText="1"/>
    </xf>
    <xf numFmtId="0" fontId="27" fillId="4" borderId="19" xfId="21" applyFont="1" applyFill="1" applyBorder="1" applyAlignment="1">
      <alignment horizontal="center" vertical="center" wrapText="1"/>
    </xf>
    <xf numFmtId="0" fontId="22" fillId="17" borderId="5" xfId="21" applyFont="1" applyFill="1" applyBorder="1" applyAlignment="1">
      <alignment horizontal="left"/>
    </xf>
    <xf numFmtId="0" fontId="22" fillId="17" borderId="6" xfId="21" applyFont="1" applyFill="1" applyBorder="1" applyAlignment="1">
      <alignment horizontal="left"/>
    </xf>
    <xf numFmtId="0" fontId="22" fillId="17" borderId="7" xfId="21" applyFont="1" applyFill="1" applyBorder="1" applyAlignment="1">
      <alignment horizontal="left"/>
    </xf>
    <xf numFmtId="0" fontId="22" fillId="17" borderId="55" xfId="21" applyFont="1" applyFill="1" applyBorder="1" applyAlignment="1">
      <alignment horizontal="left" wrapText="1"/>
    </xf>
    <xf numFmtId="0" fontId="22" fillId="17" borderId="1" xfId="21" applyFont="1" applyFill="1" applyBorder="1" applyAlignment="1">
      <alignment horizontal="left" wrapText="1"/>
    </xf>
    <xf numFmtId="0" fontId="22" fillId="17" borderId="56" xfId="21" applyFont="1" applyFill="1" applyBorder="1" applyAlignment="1">
      <alignment horizontal="left" wrapText="1"/>
    </xf>
    <xf numFmtId="0" fontId="22" fillId="17" borderId="51" xfId="21" applyFont="1" applyFill="1" applyBorder="1" applyAlignment="1">
      <alignment horizontal="left" wrapText="1"/>
    </xf>
    <xf numFmtId="0" fontId="22" fillId="17" borderId="52" xfId="21" applyFont="1" applyFill="1" applyBorder="1" applyAlignment="1">
      <alignment horizontal="left" wrapText="1"/>
    </xf>
    <xf numFmtId="0" fontId="22" fillId="17" borderId="53" xfId="21" applyFont="1" applyFill="1" applyBorder="1" applyAlignment="1">
      <alignment horizontal="left" wrapText="1"/>
    </xf>
    <xf numFmtId="0" fontId="22" fillId="17" borderId="5" xfId="21" applyFont="1" applyFill="1" applyBorder="1" applyAlignment="1">
      <alignment horizontal="left" wrapText="1"/>
    </xf>
    <xf numFmtId="0" fontId="22" fillId="17" borderId="6" xfId="21" applyFont="1" applyFill="1" applyBorder="1" applyAlignment="1">
      <alignment horizontal="left" wrapText="1"/>
    </xf>
    <xf numFmtId="0" fontId="22" fillId="17" borderId="7" xfId="21" applyFont="1" applyFill="1" applyBorder="1" applyAlignment="1">
      <alignment horizontal="left" wrapText="1"/>
    </xf>
    <xf numFmtId="0" fontId="9" fillId="3" borderId="29" xfId="21" applyFont="1" applyFill="1" applyBorder="1" applyAlignment="1">
      <alignment horizontal="center"/>
    </xf>
    <xf numFmtId="0" fontId="9" fillId="3" borderId="12" xfId="21" applyFont="1" applyFill="1" applyBorder="1" applyAlignment="1">
      <alignment horizontal="center"/>
    </xf>
    <xf numFmtId="0" fontId="9" fillId="3" borderId="28" xfId="21" applyFont="1" applyFill="1" applyBorder="1" applyAlignment="1">
      <alignment horizontal="center"/>
    </xf>
    <xf numFmtId="0" fontId="19" fillId="0" borderId="10" xfId="21" applyBorder="1" applyAlignment="1">
      <alignment horizontal="left" wrapText="1"/>
    </xf>
    <xf numFmtId="0" fontId="43" fillId="0" borderId="10" xfId="21" applyFont="1" applyBorder="1" applyAlignment="1">
      <alignment horizontal="left" wrapText="1"/>
    </xf>
    <xf numFmtId="0" fontId="43" fillId="0" borderId="0" xfId="21" applyFont="1" applyAlignment="1">
      <alignment horizontal="left" wrapText="1"/>
    </xf>
    <xf numFmtId="2" fontId="7" fillId="0" borderId="29" xfId="21" applyNumberFormat="1" applyFont="1" applyBorder="1" applyAlignment="1">
      <alignment horizontal="center"/>
    </xf>
    <xf numFmtId="2" fontId="7" fillId="0" borderId="12" xfId="21" applyNumberFormat="1" applyFont="1" applyBorder="1" applyAlignment="1">
      <alignment horizontal="center"/>
    </xf>
    <xf numFmtId="2" fontId="7" fillId="0" borderId="28" xfId="21" applyNumberFormat="1" applyFont="1" applyBorder="1" applyAlignment="1">
      <alignment horizontal="center"/>
    </xf>
    <xf numFmtId="0" fontId="8" fillId="3" borderId="29" xfId="21" applyFont="1" applyFill="1" applyBorder="1" applyAlignment="1">
      <alignment horizontal="center"/>
    </xf>
    <xf numFmtId="0" fontId="8" fillId="3" borderId="12" xfId="21" applyFont="1" applyFill="1" applyBorder="1" applyAlignment="1">
      <alignment horizontal="center"/>
    </xf>
    <xf numFmtId="0" fontId="8" fillId="3" borderId="28" xfId="21" applyFont="1" applyFill="1" applyBorder="1" applyAlignment="1">
      <alignment horizontal="center"/>
    </xf>
  </cellXfs>
  <cellStyles count="33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Normal 3" xfId="19" xr:uid="{00000000-0005-0000-0000-000012000000}"/>
    <cellStyle name="Обычный" xfId="0" builtinId="0"/>
    <cellStyle name="Обычный 2" xfId="20" xr:uid="{00000000-0005-0000-0000-000014000000}"/>
    <cellStyle name="Обычный 2 2" xfId="21" xr:uid="{00000000-0005-0000-0000-000015000000}"/>
    <cellStyle name="Обычный 2 3" xfId="31" xr:uid="{00000000-0005-0000-0000-000016000000}"/>
    <cellStyle name="Обычный 2_Комплекты электрики Amigo" xfId="22" xr:uid="{00000000-0005-0000-0000-000017000000}"/>
    <cellStyle name="Обычный 3" xfId="23" xr:uid="{00000000-0005-0000-0000-000018000000}"/>
    <cellStyle name="Обычный 3 2" xfId="24" xr:uid="{00000000-0005-0000-0000-000019000000}"/>
    <cellStyle name="Обычный 3 3" xfId="25" xr:uid="{00000000-0005-0000-0000-00001A000000}"/>
    <cellStyle name="Обычный 4" xfId="26" xr:uid="{00000000-0005-0000-0000-00001B000000}"/>
    <cellStyle name="Обычный 5" xfId="27" xr:uid="{00000000-0005-0000-0000-00001C000000}"/>
    <cellStyle name="Обычный 5 2" xfId="32" xr:uid="{00000000-0005-0000-0000-00001D000000}"/>
    <cellStyle name="Обычный 6" xfId="28" xr:uid="{00000000-0005-0000-0000-00001E000000}"/>
    <cellStyle name="Обычный 7" xfId="30" xr:uid="{00000000-0005-0000-0000-00001F000000}"/>
    <cellStyle name="Финансовый 2" xfId="29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R$18" lockText="1"/>
</file>

<file path=xl/ctrlProps/ctrlProp2.xml><?xml version="1.0" encoding="utf-8"?>
<formControlPr xmlns="http://schemas.microsoft.com/office/spreadsheetml/2009/9/main" objectType="CheckBox" checked="Checked" fmlaLink="$R$19" lockText="1"/>
</file>

<file path=xl/ctrlProps/ctrlProp3.xml><?xml version="1.0" encoding="utf-8"?>
<formControlPr xmlns="http://schemas.microsoft.com/office/spreadsheetml/2009/9/main" objectType="CheckBox" fmlaLink="$R$20" lockText="1"/>
</file>

<file path=xl/ctrlProps/ctrlProp4.xml><?xml version="1.0" encoding="utf-8"?>
<formControlPr xmlns="http://schemas.microsoft.com/office/spreadsheetml/2009/9/main" objectType="CheckBox" fmlaLink="$W$22" lockText="1"/>
</file>

<file path=xl/ctrlProps/ctrlProp5.xml><?xml version="1.0" encoding="utf-8"?>
<formControlPr xmlns="http://schemas.microsoft.com/office/spreadsheetml/2009/9/main" objectType="CheckBox" fmlaLink="$W$19" lockText="1"/>
</file>

<file path=xl/ctrlProps/ctrlProp6.xml><?xml version="1.0" encoding="utf-8"?>
<formControlPr xmlns="http://schemas.microsoft.com/office/spreadsheetml/2009/9/main" objectType="CheckBox" fmlaLink="$W$20" lockText="1"/>
</file>

<file path=xl/ctrlProps/ctrlProp7.xml><?xml version="1.0" encoding="utf-8"?>
<formControlPr xmlns="http://schemas.microsoft.com/office/spreadsheetml/2009/9/main" objectType="CheckBox" checked="Checked" fmlaLink="$W$2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243839</xdr:colOff>
      <xdr:row>0</xdr:row>
      <xdr:rowOff>0</xdr:rowOff>
    </xdr:from>
    <xdr:to>
      <xdr:col>9</xdr:col>
      <xdr:colOff>220980</xdr:colOff>
      <xdr:row>8</xdr:row>
      <xdr:rowOff>17476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39" y="0"/>
          <a:ext cx="4838701" cy="15719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17</xdr:row>
          <xdr:rowOff>295275</xdr:rowOff>
        </xdr:from>
        <xdr:to>
          <xdr:col>19</xdr:col>
          <xdr:colOff>95250</xdr:colOff>
          <xdr:row>17</xdr:row>
          <xdr:rowOff>428625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18</xdr:row>
          <xdr:rowOff>95250</xdr:rowOff>
        </xdr:from>
        <xdr:to>
          <xdr:col>19</xdr:col>
          <xdr:colOff>342900</xdr:colOff>
          <xdr:row>18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19</xdr:row>
          <xdr:rowOff>85725</xdr:rowOff>
        </xdr:from>
        <xdr:to>
          <xdr:col>19</xdr:col>
          <xdr:colOff>342900</xdr:colOff>
          <xdr:row>19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205740</xdr:colOff>
      <xdr:row>0</xdr:row>
      <xdr:rowOff>83821</xdr:rowOff>
    </xdr:from>
    <xdr:to>
      <xdr:col>14</xdr:col>
      <xdr:colOff>563880</xdr:colOff>
      <xdr:row>10</xdr:row>
      <xdr:rowOff>129541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67300" y="83821"/>
          <a:ext cx="2796540" cy="1859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itchFamily="18" charset="0"/>
              <a:cs typeface="Times New Roman" pitchFamily="18" charset="0"/>
            </a:rPr>
            <a:t>г. Севастополь, ул.Рыбаков 7</a:t>
          </a:r>
          <a:br>
            <a:rPr lang="en-US" sz="1300" b="1">
              <a:latin typeface="Times New Roman" pitchFamily="18" charset="0"/>
              <a:cs typeface="Times New Roman" pitchFamily="18" charset="0"/>
            </a:rPr>
          </a:br>
          <a:r>
            <a:rPr lang="en-US" sz="1300" b="1">
              <a:latin typeface="Times New Roman" pitchFamily="18" charset="0"/>
              <a:cs typeface="Times New Roman" pitchFamily="18" charset="0"/>
            </a:rPr>
            <a:t>gostas.jaluzi@yandex.ru</a:t>
          </a:r>
          <a:br>
            <a:rPr lang="en-US" sz="1300" b="1">
              <a:latin typeface="Times New Roman" pitchFamily="18" charset="0"/>
              <a:cs typeface="Times New Roman" pitchFamily="18" charset="0"/>
            </a:rPr>
          </a:br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gostas.sev@yandex.ru</a:t>
          </a:r>
          <a:b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endParaRPr lang="en-US" sz="13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</a:t>
          </a: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771</a:t>
          </a:r>
          <a:r>
            <a:rPr lang="ru-RU" sz="13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48 92</a:t>
          </a:r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Ольга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8 978 085 80 83  Юлия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  <a:br>
            <a:rPr lang="ru-RU" sz="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г.Симферополь, ул.Ленина 39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8 978 719 38 57  Дарья</a:t>
          </a:r>
          <a:endParaRPr lang="ru-RU" sz="13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</xdr:colOff>
      <xdr:row>0</xdr:row>
      <xdr:rowOff>22858</xdr:rowOff>
    </xdr:from>
    <xdr:to>
      <xdr:col>10</xdr:col>
      <xdr:colOff>152400</xdr:colOff>
      <xdr:row>7</xdr:row>
      <xdr:rowOff>146909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273" y="22858"/>
          <a:ext cx="5169747" cy="1693771"/>
        </a:xfrm>
        <a:prstGeom prst="rect">
          <a:avLst/>
        </a:prstGeom>
      </xdr:spPr>
    </xdr:pic>
    <xdr:clientData/>
  </xdr:twoCellAnchor>
  <xdr:twoCellAnchor>
    <xdr:from>
      <xdr:col>13</xdr:col>
      <xdr:colOff>388620</xdr:colOff>
      <xdr:row>0</xdr:row>
      <xdr:rowOff>143934</xdr:rowOff>
    </xdr:from>
    <xdr:to>
      <xdr:col>19</xdr:col>
      <xdr:colOff>152400</xdr:colOff>
      <xdr:row>9</xdr:row>
      <xdr:rowOff>59267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12287" y="143934"/>
          <a:ext cx="2964180" cy="1896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itchFamily="18" charset="0"/>
              <a:cs typeface="Times New Roman" pitchFamily="18" charset="0"/>
            </a:rPr>
            <a:t>г. Севастополь, ул.Рыбаков 7</a:t>
          </a:r>
          <a:br>
            <a:rPr lang="en-US" sz="1300" b="1">
              <a:latin typeface="Times New Roman" pitchFamily="18" charset="0"/>
              <a:cs typeface="Times New Roman" pitchFamily="18" charset="0"/>
            </a:rPr>
          </a:br>
          <a:r>
            <a:rPr lang="en-US" sz="1300" b="1">
              <a:latin typeface="Times New Roman" pitchFamily="18" charset="0"/>
              <a:cs typeface="Times New Roman" pitchFamily="18" charset="0"/>
            </a:rPr>
            <a:t>gostas.jaluzi@yandex.ru</a:t>
          </a:r>
          <a:br>
            <a:rPr lang="en-US" sz="1300" b="1">
              <a:latin typeface="Times New Roman" pitchFamily="18" charset="0"/>
              <a:cs typeface="Times New Roman" pitchFamily="18" charset="0"/>
            </a:rPr>
          </a:br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gostas.sev@yandex.ru</a:t>
          </a:r>
          <a:b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endParaRPr lang="en-US" sz="13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</a:t>
          </a: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771</a:t>
          </a:r>
          <a:r>
            <a:rPr lang="ru-RU" sz="13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48 92</a:t>
          </a:r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Ольга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8 978 085 80 83  Юлия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  <a:br>
            <a:rPr lang="ru-RU" sz="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г.Симферополь, ул.Ленина 39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8 978 719 38 57  Дарья</a:t>
          </a:r>
          <a:endParaRPr lang="ru-RU" sz="13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22858</xdr:rowOff>
    </xdr:from>
    <xdr:to>
      <xdr:col>11</xdr:col>
      <xdr:colOff>21756</xdr:colOff>
      <xdr:row>8</xdr:row>
      <xdr:rowOff>101600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2858"/>
          <a:ext cx="5546256" cy="1822875"/>
        </a:xfrm>
        <a:prstGeom prst="rect">
          <a:avLst/>
        </a:prstGeom>
      </xdr:spPr>
    </xdr:pic>
    <xdr:clientData/>
  </xdr:twoCellAnchor>
  <xdr:twoCellAnchor>
    <xdr:from>
      <xdr:col>10</xdr:col>
      <xdr:colOff>510540</xdr:colOff>
      <xdr:row>0</xdr:row>
      <xdr:rowOff>15240</xdr:rowOff>
    </xdr:from>
    <xdr:to>
      <xdr:col>15</xdr:col>
      <xdr:colOff>510540</xdr:colOff>
      <xdr:row>10</xdr:row>
      <xdr:rowOff>76199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103620" y="15240"/>
          <a:ext cx="2590800" cy="22021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itchFamily="18" charset="0"/>
              <a:cs typeface="Times New Roman" pitchFamily="18" charset="0"/>
            </a:rPr>
            <a:t>г. Севастополь, ул.Рыбаков 7</a:t>
          </a:r>
          <a:br>
            <a:rPr lang="en-US" sz="1300" b="1">
              <a:latin typeface="Times New Roman" pitchFamily="18" charset="0"/>
              <a:cs typeface="Times New Roman" pitchFamily="18" charset="0"/>
            </a:rPr>
          </a:br>
          <a:r>
            <a:rPr lang="en-US" sz="1300" b="1">
              <a:latin typeface="Times New Roman" pitchFamily="18" charset="0"/>
              <a:cs typeface="Times New Roman" pitchFamily="18" charset="0"/>
            </a:rPr>
            <a:t>gostas.jaluzi@yandex.ru</a:t>
          </a:r>
          <a:br>
            <a:rPr lang="en-US" sz="1300" b="1">
              <a:latin typeface="Times New Roman" pitchFamily="18" charset="0"/>
              <a:cs typeface="Times New Roman" pitchFamily="18" charset="0"/>
            </a:rPr>
          </a:br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gostas.sev@yandex.ru</a:t>
          </a:r>
          <a:b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endParaRPr lang="en-US" sz="13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</a:t>
          </a: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771</a:t>
          </a:r>
          <a:r>
            <a:rPr lang="ru-RU" sz="13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48 92</a:t>
          </a:r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Ольга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8 978 085 80 83  Юлия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  <a:br>
            <a:rPr lang="ru-RU" sz="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г.Симферополь, ул.Ленина 39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8 978 719 38 57  Дарья</a:t>
          </a:r>
          <a:endParaRPr lang="ru-RU" sz="13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</xdr:colOff>
      <xdr:row>0</xdr:row>
      <xdr:rowOff>22858</xdr:rowOff>
    </xdr:from>
    <xdr:to>
      <xdr:col>10</xdr:col>
      <xdr:colOff>152400</xdr:colOff>
      <xdr:row>7</xdr:row>
      <xdr:rowOff>146909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273" y="22858"/>
          <a:ext cx="5169747" cy="1693771"/>
        </a:xfrm>
        <a:prstGeom prst="rect">
          <a:avLst/>
        </a:prstGeom>
      </xdr:spPr>
    </xdr:pic>
    <xdr:clientData/>
  </xdr:twoCellAnchor>
  <xdr:twoCellAnchor>
    <xdr:from>
      <xdr:col>12</xdr:col>
      <xdr:colOff>261620</xdr:colOff>
      <xdr:row>0</xdr:row>
      <xdr:rowOff>143934</xdr:rowOff>
    </xdr:from>
    <xdr:to>
      <xdr:col>18</xdr:col>
      <xdr:colOff>25400</xdr:colOff>
      <xdr:row>9</xdr:row>
      <xdr:rowOff>59267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51040" y="143934"/>
          <a:ext cx="2964180" cy="1888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itchFamily="18" charset="0"/>
              <a:cs typeface="Times New Roman" pitchFamily="18" charset="0"/>
            </a:rPr>
            <a:t>г. Севастополь, ул.Рыбаков 7</a:t>
          </a:r>
          <a:br>
            <a:rPr lang="en-US" sz="1300" b="1">
              <a:latin typeface="Times New Roman" pitchFamily="18" charset="0"/>
              <a:cs typeface="Times New Roman" pitchFamily="18" charset="0"/>
            </a:rPr>
          </a:br>
          <a:r>
            <a:rPr lang="en-US" sz="1300" b="1">
              <a:latin typeface="Times New Roman" pitchFamily="18" charset="0"/>
              <a:cs typeface="Times New Roman" pitchFamily="18" charset="0"/>
            </a:rPr>
            <a:t>gostas.jaluzi@yandex.ru</a:t>
          </a:r>
          <a:br>
            <a:rPr lang="en-US" sz="1300" b="1">
              <a:latin typeface="Times New Roman" pitchFamily="18" charset="0"/>
              <a:cs typeface="Times New Roman" pitchFamily="18" charset="0"/>
            </a:rPr>
          </a:br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gostas.sev@yandex.ru</a:t>
          </a:r>
          <a:b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endParaRPr lang="en-US" sz="13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</a:t>
          </a: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771</a:t>
          </a:r>
          <a:r>
            <a:rPr lang="ru-RU" sz="13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48 92</a:t>
          </a:r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Ольга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8 978 085 80 83  Юлия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  <a:br>
            <a:rPr lang="ru-RU" sz="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г.Симферополь, ул.Ленина 39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8 978 719 38 57  Дарья</a:t>
          </a:r>
          <a:endParaRPr lang="ru-RU" sz="13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</xdr:colOff>
      <xdr:row>0</xdr:row>
      <xdr:rowOff>22858</xdr:rowOff>
    </xdr:from>
    <xdr:to>
      <xdr:col>9</xdr:col>
      <xdr:colOff>499534</xdr:colOff>
      <xdr:row>7</xdr:row>
      <xdr:rowOff>79176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273" y="22858"/>
          <a:ext cx="5166361" cy="1695464"/>
        </a:xfrm>
        <a:prstGeom prst="rect">
          <a:avLst/>
        </a:prstGeom>
      </xdr:spPr>
    </xdr:pic>
    <xdr:clientData/>
  </xdr:twoCellAnchor>
  <xdr:twoCellAnchor>
    <xdr:from>
      <xdr:col>12</xdr:col>
      <xdr:colOff>261620</xdr:colOff>
      <xdr:row>0</xdr:row>
      <xdr:rowOff>143934</xdr:rowOff>
    </xdr:from>
    <xdr:to>
      <xdr:col>18</xdr:col>
      <xdr:colOff>25400</xdr:colOff>
      <xdr:row>9</xdr:row>
      <xdr:rowOff>59267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233920" y="143934"/>
          <a:ext cx="2964180" cy="2026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itchFamily="18" charset="0"/>
              <a:cs typeface="Times New Roman" pitchFamily="18" charset="0"/>
            </a:rPr>
            <a:t>г. Севастополь, ул.Рыбаков 7</a:t>
          </a:r>
          <a:br>
            <a:rPr lang="en-US" sz="1300" b="1">
              <a:latin typeface="Times New Roman" pitchFamily="18" charset="0"/>
              <a:cs typeface="Times New Roman" pitchFamily="18" charset="0"/>
            </a:rPr>
          </a:br>
          <a:r>
            <a:rPr lang="en-US" sz="1300" b="1">
              <a:latin typeface="Times New Roman" pitchFamily="18" charset="0"/>
              <a:cs typeface="Times New Roman" pitchFamily="18" charset="0"/>
            </a:rPr>
            <a:t>gostas.jaluzi@yandex.ru</a:t>
          </a:r>
          <a:br>
            <a:rPr lang="en-US" sz="1300" b="1">
              <a:latin typeface="Times New Roman" pitchFamily="18" charset="0"/>
              <a:cs typeface="Times New Roman" pitchFamily="18" charset="0"/>
            </a:rPr>
          </a:br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gostas.sev@yandex.ru</a:t>
          </a:r>
          <a:b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endParaRPr lang="en-US" sz="13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</a:t>
          </a: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771</a:t>
          </a:r>
          <a:r>
            <a:rPr lang="ru-RU" sz="13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48 92</a:t>
          </a:r>
          <a:r>
            <a:rPr lang="en-US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Ольга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8 978 085 80 83  Юлия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  <a:br>
            <a:rPr lang="ru-RU" sz="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г.Симферополь, ул.Ленина 39</a:t>
          </a:r>
          <a:b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3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8 978 719 38 57  Дарья</a:t>
          </a:r>
          <a:endParaRPr lang="ru-RU" sz="13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21</xdr:row>
          <xdr:rowOff>114300</xdr:rowOff>
        </xdr:from>
        <xdr:to>
          <xdr:col>24</xdr:col>
          <xdr:colOff>180975</xdr:colOff>
          <xdr:row>21</xdr:row>
          <xdr:rowOff>381000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18</xdr:row>
          <xdr:rowOff>9525</xdr:rowOff>
        </xdr:from>
        <xdr:to>
          <xdr:col>24</xdr:col>
          <xdr:colOff>142875</xdr:colOff>
          <xdr:row>19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19</xdr:row>
          <xdr:rowOff>9525</xdr:rowOff>
        </xdr:from>
        <xdr:to>
          <xdr:col>24</xdr:col>
          <xdr:colOff>238125</xdr:colOff>
          <xdr:row>19</xdr:row>
          <xdr:rowOff>238125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20</xdr:row>
          <xdr:rowOff>9525</xdr:rowOff>
        </xdr:from>
        <xdr:to>
          <xdr:col>24</xdr:col>
          <xdr:colOff>123825</xdr:colOff>
          <xdr:row>20</xdr:row>
          <xdr:rowOff>238125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169334</xdr:colOff>
      <xdr:row>46</xdr:row>
      <xdr:rowOff>143933</xdr:rowOff>
    </xdr:from>
    <xdr:to>
      <xdr:col>13</xdr:col>
      <xdr:colOff>59267</xdr:colOff>
      <xdr:row>46</xdr:row>
      <xdr:rowOff>143933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7145867" y="13682133"/>
          <a:ext cx="423333" cy="0"/>
        </a:xfrm>
        <a:prstGeom prst="line">
          <a:avLst/>
        </a:prstGeom>
        <a:ln w="28575" cap="rnd">
          <a:head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25401</xdr:colOff>
      <xdr:row>46</xdr:row>
      <xdr:rowOff>220134</xdr:rowOff>
    </xdr:from>
    <xdr:to>
      <xdr:col>13</xdr:col>
      <xdr:colOff>448734</xdr:colOff>
      <xdr:row>46</xdr:row>
      <xdr:rowOff>220134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7531101" y="13753254"/>
          <a:ext cx="423333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448734</xdr:colOff>
      <xdr:row>46</xdr:row>
      <xdr:rowOff>287867</xdr:rowOff>
    </xdr:from>
    <xdr:to>
      <xdr:col>14</xdr:col>
      <xdr:colOff>338667</xdr:colOff>
      <xdr:row>46</xdr:row>
      <xdr:rowOff>287867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7954434" y="13820987"/>
          <a:ext cx="423333" cy="0"/>
        </a:xfrm>
        <a:prstGeom prst="line">
          <a:avLst/>
        </a:prstGeom>
        <a:ln w="28575" cap="rnd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42334</xdr:colOff>
      <xdr:row>46</xdr:row>
      <xdr:rowOff>143933</xdr:rowOff>
    </xdr:from>
    <xdr:to>
      <xdr:col>16</xdr:col>
      <xdr:colOff>465667</xdr:colOff>
      <xdr:row>46</xdr:row>
      <xdr:rowOff>143933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9148234" y="13677053"/>
          <a:ext cx="423333" cy="0"/>
        </a:xfrm>
        <a:prstGeom prst="line">
          <a:avLst/>
        </a:prstGeom>
        <a:ln w="28575" cap="rnd">
          <a:head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389468</xdr:colOff>
      <xdr:row>46</xdr:row>
      <xdr:rowOff>237067</xdr:rowOff>
    </xdr:from>
    <xdr:to>
      <xdr:col>17</xdr:col>
      <xdr:colOff>279401</xdr:colOff>
      <xdr:row>46</xdr:row>
      <xdr:rowOff>237067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9495368" y="13770187"/>
          <a:ext cx="423333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101600</xdr:colOff>
      <xdr:row>47</xdr:row>
      <xdr:rowOff>84666</xdr:rowOff>
    </xdr:from>
    <xdr:to>
      <xdr:col>18</xdr:col>
      <xdr:colOff>524933</xdr:colOff>
      <xdr:row>47</xdr:row>
      <xdr:rowOff>84666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10274300" y="13922586"/>
          <a:ext cx="423333" cy="0"/>
        </a:xfrm>
        <a:prstGeom prst="line">
          <a:avLst/>
        </a:prstGeom>
        <a:ln w="28575" cap="rnd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262467</xdr:colOff>
      <xdr:row>47</xdr:row>
      <xdr:rowOff>16934</xdr:rowOff>
    </xdr:from>
    <xdr:to>
      <xdr:col>18</xdr:col>
      <xdr:colOff>152400</xdr:colOff>
      <xdr:row>47</xdr:row>
      <xdr:rowOff>16934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9901767" y="13854854"/>
          <a:ext cx="423333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33867</xdr:colOff>
      <xdr:row>46</xdr:row>
      <xdr:rowOff>110067</xdr:rowOff>
    </xdr:from>
    <xdr:to>
      <xdr:col>20</xdr:col>
      <xdr:colOff>393867</xdr:colOff>
      <xdr:row>46</xdr:row>
      <xdr:rowOff>110067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11273367" y="13643187"/>
          <a:ext cx="360000" cy="0"/>
        </a:xfrm>
        <a:prstGeom prst="line">
          <a:avLst/>
        </a:prstGeom>
        <a:ln w="28575" cap="rnd">
          <a:head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101600</xdr:colOff>
      <xdr:row>47</xdr:row>
      <xdr:rowOff>84666</xdr:rowOff>
    </xdr:from>
    <xdr:to>
      <xdr:col>22</xdr:col>
      <xdr:colOff>524933</xdr:colOff>
      <xdr:row>47</xdr:row>
      <xdr:rowOff>84666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12651740" y="13922586"/>
          <a:ext cx="385233" cy="0"/>
        </a:xfrm>
        <a:prstGeom prst="line">
          <a:avLst/>
        </a:prstGeom>
        <a:ln w="28575" cap="rnd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397934</xdr:colOff>
      <xdr:row>46</xdr:row>
      <xdr:rowOff>186268</xdr:rowOff>
    </xdr:from>
    <xdr:to>
      <xdr:col>21</xdr:col>
      <xdr:colOff>106000</xdr:colOff>
      <xdr:row>46</xdr:row>
      <xdr:rowOff>186268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11637434" y="13719388"/>
          <a:ext cx="363386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50799</xdr:colOff>
      <xdr:row>46</xdr:row>
      <xdr:rowOff>245534</xdr:rowOff>
    </xdr:from>
    <xdr:to>
      <xdr:col>21</xdr:col>
      <xdr:colOff>410799</xdr:colOff>
      <xdr:row>46</xdr:row>
      <xdr:rowOff>245534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11945619" y="13778654"/>
          <a:ext cx="360000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397933</xdr:colOff>
      <xdr:row>47</xdr:row>
      <xdr:rowOff>8467</xdr:rowOff>
    </xdr:from>
    <xdr:to>
      <xdr:col>22</xdr:col>
      <xdr:colOff>106000</xdr:colOff>
      <xdr:row>47</xdr:row>
      <xdr:rowOff>8467</xdr:rowOff>
    </xdr:to>
    <xdr:cxnSp macro="">
      <xdr:nvCxnSpPr>
        <xdr:cNvPr id="19" name="Прямая соединительная линия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12292753" y="13846387"/>
          <a:ext cx="363387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33867</xdr:colOff>
      <xdr:row>74</xdr:row>
      <xdr:rowOff>110067</xdr:rowOff>
    </xdr:from>
    <xdr:to>
      <xdr:col>22</xdr:col>
      <xdr:colOff>393867</xdr:colOff>
      <xdr:row>74</xdr:row>
      <xdr:rowOff>110067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11277600" y="13648267"/>
          <a:ext cx="360000" cy="0"/>
        </a:xfrm>
        <a:prstGeom prst="line">
          <a:avLst/>
        </a:prstGeom>
        <a:ln w="28575" cap="rnd">
          <a:head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126999</xdr:colOff>
      <xdr:row>75</xdr:row>
      <xdr:rowOff>84666</xdr:rowOff>
    </xdr:from>
    <xdr:to>
      <xdr:col>24</xdr:col>
      <xdr:colOff>16932</xdr:colOff>
      <xdr:row>75</xdr:row>
      <xdr:rowOff>84666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13165666" y="15282333"/>
          <a:ext cx="423333" cy="0"/>
        </a:xfrm>
        <a:prstGeom prst="line">
          <a:avLst/>
        </a:prstGeom>
        <a:ln w="28575" cap="rnd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397934</xdr:colOff>
      <xdr:row>75</xdr:row>
      <xdr:rowOff>1694</xdr:rowOff>
    </xdr:from>
    <xdr:to>
      <xdr:col>23</xdr:col>
      <xdr:colOff>230867</xdr:colOff>
      <xdr:row>75</xdr:row>
      <xdr:rowOff>1694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>
          <a:off x="12945534" y="15199361"/>
          <a:ext cx="324000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152398</xdr:colOff>
      <xdr:row>74</xdr:row>
      <xdr:rowOff>152401</xdr:rowOff>
    </xdr:from>
    <xdr:to>
      <xdr:col>25</xdr:col>
      <xdr:colOff>512398</xdr:colOff>
      <xdr:row>74</xdr:row>
      <xdr:rowOff>152401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13724465" y="14842068"/>
          <a:ext cx="360000" cy="0"/>
        </a:xfrm>
        <a:prstGeom prst="line">
          <a:avLst/>
        </a:prstGeom>
        <a:ln w="28575" cap="rnd">
          <a:headEnd type="non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414865</xdr:colOff>
      <xdr:row>75</xdr:row>
      <xdr:rowOff>76200</xdr:rowOff>
    </xdr:from>
    <xdr:to>
      <xdr:col>25</xdr:col>
      <xdr:colOff>241465</xdr:colOff>
      <xdr:row>75</xdr:row>
      <xdr:rowOff>76200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13453532" y="14935200"/>
          <a:ext cx="360000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110067</xdr:colOff>
      <xdr:row>46</xdr:row>
      <xdr:rowOff>177800</xdr:rowOff>
    </xdr:from>
    <xdr:to>
      <xdr:col>24</xdr:col>
      <xdr:colOff>470067</xdr:colOff>
      <xdr:row>46</xdr:row>
      <xdr:rowOff>177800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13682134" y="13716000"/>
          <a:ext cx="360000" cy="0"/>
        </a:xfrm>
        <a:prstGeom prst="line">
          <a:avLst/>
        </a:prstGeom>
        <a:ln w="28575" cap="rnd">
          <a:head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16931</xdr:colOff>
      <xdr:row>76</xdr:row>
      <xdr:rowOff>1</xdr:rowOff>
    </xdr:from>
    <xdr:to>
      <xdr:col>24</xdr:col>
      <xdr:colOff>440264</xdr:colOff>
      <xdr:row>76</xdr:row>
      <xdr:rowOff>1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13055598" y="15028334"/>
          <a:ext cx="423333" cy="0"/>
        </a:xfrm>
        <a:prstGeom prst="line">
          <a:avLst/>
        </a:prstGeom>
        <a:ln w="28575" cap="rnd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33867</xdr:colOff>
      <xdr:row>78</xdr:row>
      <xdr:rowOff>76200</xdr:rowOff>
    </xdr:from>
    <xdr:to>
      <xdr:col>22</xdr:col>
      <xdr:colOff>465867</xdr:colOff>
      <xdr:row>78</xdr:row>
      <xdr:rowOff>76200</xdr:rowOff>
    </xdr:to>
    <xdr:cxnSp macro="">
      <xdr:nvCxnSpPr>
        <xdr:cNvPr id="28" name="Прямая соединительная линия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11929534" y="15443200"/>
          <a:ext cx="432000" cy="0"/>
        </a:xfrm>
        <a:prstGeom prst="line">
          <a:avLst/>
        </a:prstGeom>
        <a:ln w="28575" cap="rnd">
          <a:head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228599</xdr:colOff>
      <xdr:row>79</xdr:row>
      <xdr:rowOff>160867</xdr:rowOff>
    </xdr:from>
    <xdr:to>
      <xdr:col>25</xdr:col>
      <xdr:colOff>127199</xdr:colOff>
      <xdr:row>79</xdr:row>
      <xdr:rowOff>160867</xdr:rowOff>
    </xdr:to>
    <xdr:cxnSp macro="">
      <xdr:nvCxnSpPr>
        <xdr:cNvPr id="29" name="Прямая соединительная линия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13267266" y="15697200"/>
          <a:ext cx="432000" cy="0"/>
        </a:xfrm>
        <a:prstGeom prst="line">
          <a:avLst/>
        </a:prstGeom>
        <a:ln w="28575" cap="rnd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485140</xdr:colOff>
      <xdr:row>79</xdr:row>
      <xdr:rowOff>1695</xdr:rowOff>
    </xdr:from>
    <xdr:to>
      <xdr:col>23</xdr:col>
      <xdr:colOff>390073</xdr:colOff>
      <xdr:row>79</xdr:row>
      <xdr:rowOff>1695</xdr:rowOff>
    </xdr:to>
    <xdr:cxnSp macro="">
      <xdr:nvCxnSpPr>
        <xdr:cNvPr id="30" name="Прямая соединительная линия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>
        <a:xfrm>
          <a:off x="13032740" y="15876695"/>
          <a:ext cx="396000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152398</xdr:colOff>
      <xdr:row>78</xdr:row>
      <xdr:rowOff>84668</xdr:rowOff>
    </xdr:from>
    <xdr:to>
      <xdr:col>25</xdr:col>
      <xdr:colOff>584398</xdr:colOff>
      <xdr:row>78</xdr:row>
      <xdr:rowOff>84668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>
          <a:off x="13724465" y="15451668"/>
          <a:ext cx="432000" cy="0"/>
        </a:xfrm>
        <a:prstGeom prst="line">
          <a:avLst/>
        </a:prstGeom>
        <a:ln w="28575" cap="rnd">
          <a:headEnd type="none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296332</xdr:colOff>
      <xdr:row>79</xdr:row>
      <xdr:rowOff>93134</xdr:rowOff>
    </xdr:from>
    <xdr:to>
      <xdr:col>24</xdr:col>
      <xdr:colOff>237265</xdr:colOff>
      <xdr:row>79</xdr:row>
      <xdr:rowOff>93134</xdr:rowOff>
    </xdr:to>
    <xdr:cxnSp macro="">
      <xdr:nvCxnSpPr>
        <xdr:cNvPr id="32" name="Прямая соединительная линия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CxnSpPr/>
      </xdr:nvCxnSpPr>
      <xdr:spPr>
        <a:xfrm>
          <a:off x="12843932" y="15629467"/>
          <a:ext cx="432000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33867</xdr:colOff>
      <xdr:row>82</xdr:row>
      <xdr:rowOff>76200</xdr:rowOff>
    </xdr:from>
    <xdr:to>
      <xdr:col>22</xdr:col>
      <xdr:colOff>537867</xdr:colOff>
      <xdr:row>82</xdr:row>
      <xdr:rowOff>76200</xdr:rowOff>
    </xdr:to>
    <xdr:cxnSp macro="">
      <xdr:nvCxnSpPr>
        <xdr:cNvPr id="34" name="Прямая соединительная линия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CxnSpPr/>
      </xdr:nvCxnSpPr>
      <xdr:spPr>
        <a:xfrm>
          <a:off x="11929534" y="16120533"/>
          <a:ext cx="504000" cy="0"/>
        </a:xfrm>
        <a:prstGeom prst="line">
          <a:avLst/>
        </a:prstGeom>
        <a:ln w="28575" cap="rnd">
          <a:head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533399</xdr:colOff>
      <xdr:row>83</xdr:row>
      <xdr:rowOff>143934</xdr:rowOff>
    </xdr:from>
    <xdr:to>
      <xdr:col>25</xdr:col>
      <xdr:colOff>503999</xdr:colOff>
      <xdr:row>83</xdr:row>
      <xdr:rowOff>143934</xdr:rowOff>
    </xdr:to>
    <xdr:cxnSp macro="">
      <xdr:nvCxnSpPr>
        <xdr:cNvPr id="35" name="Прямая соединительная линия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/>
      </xdr:nvCxnSpPr>
      <xdr:spPr>
        <a:xfrm>
          <a:off x="14105466" y="16696267"/>
          <a:ext cx="580200" cy="0"/>
        </a:xfrm>
        <a:prstGeom prst="line">
          <a:avLst/>
        </a:prstGeom>
        <a:ln w="28575" cap="rnd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491066</xdr:colOff>
      <xdr:row>82</xdr:row>
      <xdr:rowOff>154095</xdr:rowOff>
    </xdr:from>
    <xdr:to>
      <xdr:col>23</xdr:col>
      <xdr:colOff>503999</xdr:colOff>
      <xdr:row>82</xdr:row>
      <xdr:rowOff>154095</xdr:rowOff>
    </xdr:to>
    <xdr:cxnSp macro="">
      <xdr:nvCxnSpPr>
        <xdr:cNvPr id="36" name="Прямая соединительная линия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CxnSpPr/>
      </xdr:nvCxnSpPr>
      <xdr:spPr>
        <a:xfrm>
          <a:off x="13038666" y="16537095"/>
          <a:ext cx="504000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507999</xdr:colOff>
      <xdr:row>83</xdr:row>
      <xdr:rowOff>67734</xdr:rowOff>
    </xdr:from>
    <xdr:to>
      <xdr:col>24</xdr:col>
      <xdr:colOff>520932</xdr:colOff>
      <xdr:row>83</xdr:row>
      <xdr:rowOff>67734</xdr:rowOff>
    </xdr:to>
    <xdr:cxnSp macro="">
      <xdr:nvCxnSpPr>
        <xdr:cNvPr id="38" name="Прямая соединительная линия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CxnSpPr/>
      </xdr:nvCxnSpPr>
      <xdr:spPr>
        <a:xfrm>
          <a:off x="13546666" y="16620067"/>
          <a:ext cx="546333" cy="0"/>
        </a:xfrm>
        <a:prstGeom prst="line">
          <a:avLst/>
        </a:prstGeom>
        <a:ln w="28575" cap="rnd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&#1043;&#1054;&#1057;&#1058;&#1040;-&#1057;%20&#1046;&#1040;&#1051;&#1070;&#1047;&#1048;/&#1041;&#1056;&#1054;&#1057;&#1050;&#1054;/&#1056;&#1040;&#1057;&#1063;&#1045;&#1058;%20&#1046;&#1040;&#1051;&#1070;&#1047;&#1048;%20&#1076;&#1083;&#1103;%201%20&#105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ta-S/Desktop/&#1041;&#1056;&#1054;&#1057;&#1050;&#1054;/&#1056;&#1040;&#1057;&#1063;&#1045;&#1058;%20&#1046;&#1040;&#1051;&#1070;&#1047;&#1048;%20&#1076;&#1083;&#1103;%201%20&#1057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&#1043;&#1054;&#1057;&#1058;&#1040;-&#1057;%20&#1046;&#1040;&#1051;&#1070;&#1047;&#1048;/&#1056;&#1040;&#1057;&#1063;&#1045;&#1058;&#1067;/&#1071;&#1087;&#1086;&#1085;&#1089;&#1082;&#1080;&#1077;%20&#1088;&#1072;&#1089;&#1095;&#1077;&#1090;&#1099;/&#1071;&#1087;&#1086;&#1085;&#1089;&#1082;&#1080;&#1077;%20&#1055;&#1088;&#1086;&#1089;&#1095;&#1077;&#1090;%20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-Расчет"/>
      <sheetName val="Компл. 1С группы"/>
      <sheetName val="ВЖ"/>
      <sheetName val="ВЖ LUX"/>
      <sheetName val="ВЖ сшивные (арка)"/>
      <sheetName val="ВЖ мультифактура"/>
      <sheetName val="ВЖ пластик"/>
      <sheetName val="ВЖ карниз"/>
      <sheetName val="ВЖ дек.карниз"/>
      <sheetName val="ВЖ ламели"/>
      <sheetName val="ГЖ HOLIS"/>
      <sheetName val="ГЖ Venus"/>
      <sheetName val="Ролло дуэт"/>
      <sheetName val="LVT 45"/>
      <sheetName val="Ролло MGII"/>
      <sheetName val="Ролло LUX"/>
      <sheetName val="Ролло LUX c коробом"/>
      <sheetName val="UNI-1"/>
      <sheetName val="UNI-2"/>
      <sheetName val="UNI-пруж"/>
      <sheetName val="UNI дуэт"/>
      <sheetName val="MINI"/>
      <sheetName val="Зебра Ролло LUX"/>
      <sheetName val="Кассетная ролло LUX зебра"/>
      <sheetName val="Зебра UNI-1"/>
      <sheetName val="Зебра UNI-2"/>
      <sheetName val="Зебра MINI"/>
      <sheetName val="Римские"/>
      <sheetName val="Римские пышные"/>
      <sheetName val="Римские сшивные"/>
      <sheetName val="Римские сшивные пышные"/>
      <sheetName val="MINI римские"/>
      <sheetName val="MINI  римские пышные"/>
      <sheetName val="MINI римские сшивные"/>
      <sheetName val="MINI римские сшивные пышные"/>
      <sheetName val="Японские"/>
      <sheetName val="ВЖ бриз УДАЛИТЬ"/>
      <sheetName val="ВЖ ханас УДАЛИТЬ"/>
      <sheetName val="не трога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">
          <cell r="B2" t="str">
            <v xml:space="preserve">НМ-101 белый глянец </v>
          </cell>
          <cell r="C2">
            <v>9.5600000000000004E-2</v>
          </cell>
          <cell r="E2" t="str">
            <v>АНТАРЕС</v>
          </cell>
          <cell r="F2">
            <v>0.105</v>
          </cell>
          <cell r="N2" t="str">
            <v>Бриз</v>
          </cell>
          <cell r="O2">
            <v>2.4304999999999999</v>
          </cell>
          <cell r="T2" t="str">
            <v>Аквамарин</v>
          </cell>
          <cell r="U2">
            <v>0.86499999999999999</v>
          </cell>
        </row>
        <row r="3">
          <cell r="B3" t="str">
            <v>НМ-115 молочный глянец</v>
          </cell>
          <cell r="C3">
            <v>0.1017</v>
          </cell>
          <cell r="E3" t="str">
            <v xml:space="preserve">АРИЭЛЬ оригинал         </v>
          </cell>
          <cell r="F3">
            <v>0.21859999999999999</v>
          </cell>
          <cell r="N3" t="str">
            <v>Бриз Multi</v>
          </cell>
          <cell r="O3">
            <v>2.4304999999999999</v>
          </cell>
          <cell r="T3" t="str">
            <v>Антик</v>
          </cell>
          <cell r="U3">
            <v>0.78290000000000004</v>
          </cell>
        </row>
        <row r="4">
          <cell r="B4" t="str">
            <v>НМ-117 светло-бежевый глянец</v>
          </cell>
          <cell r="C4">
            <v>9.0899999999999995E-2</v>
          </cell>
          <cell r="E4" t="str">
            <v>АРИЭЛЬ стандарт</v>
          </cell>
          <cell r="F4">
            <v>0.2114</v>
          </cell>
          <cell r="N4" t="str">
            <v>Бриз Double Белый</v>
          </cell>
          <cell r="O4">
            <v>2.8125</v>
          </cell>
          <cell r="T4" t="str">
            <v>Бук</v>
          </cell>
          <cell r="U4">
            <v>0.78290000000000004</v>
          </cell>
        </row>
        <row r="5">
          <cell r="B5" t="str">
            <v xml:space="preserve">НМ-313 бирюзовый глянец </v>
          </cell>
          <cell r="C5">
            <v>0.1017</v>
          </cell>
          <cell r="E5" t="str">
            <v>ВЕНЕЦИЯ</v>
          </cell>
          <cell r="F5">
            <v>0.23019999999999999</v>
          </cell>
          <cell r="N5" t="str">
            <v>Бриз Double Бежевый</v>
          </cell>
          <cell r="O5">
            <v>2.8125</v>
          </cell>
          <cell r="T5" t="str">
            <v>Валентино</v>
          </cell>
          <cell r="U5">
            <v>0.78290000000000004</v>
          </cell>
        </row>
        <row r="6">
          <cell r="B6" t="str">
            <v>НМ-411 розовый глянец</v>
          </cell>
          <cell r="C6">
            <v>0.1017</v>
          </cell>
          <cell r="E6" t="str">
            <v xml:space="preserve">ГРАНД </v>
          </cell>
          <cell r="F6">
            <v>0.22209999999999999</v>
          </cell>
          <cell r="N6" t="str">
            <v>Бриз Double Персиковый</v>
          </cell>
          <cell r="O6">
            <v>2.8125</v>
          </cell>
          <cell r="T6" t="str">
            <v>Дуб</v>
          </cell>
          <cell r="U6">
            <v>0.7601</v>
          </cell>
        </row>
        <row r="7">
          <cell r="B7" t="str">
            <v>НМ-565 светло-голубой глянец</v>
          </cell>
          <cell r="C7">
            <v>0.1017</v>
          </cell>
          <cell r="E7" t="str">
            <v>ЕЛОЧКА оригинал</v>
          </cell>
          <cell r="F7">
            <v>0.2324</v>
          </cell>
          <cell r="N7" t="str">
            <v>Бриз Double Белый 1606</v>
          </cell>
          <cell r="O7">
            <v>4.4032</v>
          </cell>
          <cell r="T7" t="str">
            <v>Карелия</v>
          </cell>
          <cell r="U7">
            <v>0.71160000000000001</v>
          </cell>
        </row>
        <row r="8">
          <cell r="B8" t="str">
            <v>НМ-734 белый жемчуг</v>
          </cell>
          <cell r="C8">
            <v>0.1923</v>
          </cell>
          <cell r="E8" t="str">
            <v>ЁЛОЧКА стандарт</v>
          </cell>
          <cell r="F8">
            <v>0.22070000000000001</v>
          </cell>
          <cell r="N8" t="str">
            <v>Бриз Double Коричневый 2871</v>
          </cell>
          <cell r="O8">
            <v>4.4032</v>
          </cell>
          <cell r="T8" t="str">
            <v>Клен</v>
          </cell>
          <cell r="U8">
            <v>0.7601</v>
          </cell>
        </row>
        <row r="9">
          <cell r="B9" t="str">
            <v>НМ-816 металлик желтый металлик</v>
          </cell>
          <cell r="C9">
            <v>0.1636</v>
          </cell>
          <cell r="E9" t="str">
            <v>ЗОЛОТАРИ</v>
          </cell>
          <cell r="F9">
            <v>0.105</v>
          </cell>
          <cell r="N9" t="str">
            <v>Бриз Double Кремовый 4221</v>
          </cell>
          <cell r="O9">
            <v>4.4032</v>
          </cell>
          <cell r="T9" t="str">
            <v>Лоэнгрин</v>
          </cell>
          <cell r="U9">
            <v>0.87350000000000005</v>
          </cell>
        </row>
        <row r="10">
          <cell r="B10" t="str">
            <v>НМ-929 дерево сосна</v>
          </cell>
          <cell r="C10">
            <v>0.19719999999999999</v>
          </cell>
          <cell r="E10" t="str">
            <v>КВЕБЕК</v>
          </cell>
          <cell r="F10">
            <v>0.30470000000000003</v>
          </cell>
          <cell r="N10" t="str">
            <v>Бриз Double Черный 1909</v>
          </cell>
          <cell r="O10">
            <v>4.4032</v>
          </cell>
          <cell r="T10" t="str">
            <v>Мрамор II</v>
          </cell>
          <cell r="U10">
            <v>0.74339999999999995</v>
          </cell>
        </row>
        <row r="11">
          <cell r="B11" t="str">
            <v>СК-107 металлик снежное серебро</v>
          </cell>
          <cell r="C11">
            <v>0.1636</v>
          </cell>
          <cell r="E11" t="str">
            <v>ЛАЙН оригинал</v>
          </cell>
          <cell r="F11">
            <v>0.15559999999999999</v>
          </cell>
          <cell r="T11" t="str">
            <v>Парсифаль</v>
          </cell>
          <cell r="U11">
            <v>0.85489999999999999</v>
          </cell>
        </row>
        <row r="12">
          <cell r="B12" t="str">
            <v>СК-108 металлик альпийский снег</v>
          </cell>
          <cell r="C12">
            <v>0.1636</v>
          </cell>
          <cell r="E12" t="str">
            <v>ЛАЙН стандарт</v>
          </cell>
          <cell r="F12">
            <v>0.13350000000000001</v>
          </cell>
          <cell r="T12" t="str">
            <v>Рибкорд</v>
          </cell>
          <cell r="U12">
            <v>0.53639999999999999</v>
          </cell>
        </row>
        <row r="13">
          <cell r="B13" t="str">
            <v>СК-530 лимонный</v>
          </cell>
          <cell r="C13">
            <v>0.1017</v>
          </cell>
          <cell r="E13" t="str">
            <v>МАГНОЛИЯ оригинал</v>
          </cell>
          <cell r="F13">
            <v>0.15820000000000001</v>
          </cell>
          <cell r="T13" t="str">
            <v>Сканди</v>
          </cell>
          <cell r="U13">
            <v>0.85499999999999998</v>
          </cell>
        </row>
        <row r="14">
          <cell r="B14" t="str">
            <v>СК-602 голубой соболь  матовый</v>
          </cell>
          <cell r="C14">
            <v>0.15340000000000001</v>
          </cell>
          <cell r="E14" t="str">
            <v>МАГНОЛИЯ стандарт</v>
          </cell>
          <cell r="F14">
            <v>0.15190000000000001</v>
          </cell>
          <cell r="T14" t="str">
            <v>Стандарт</v>
          </cell>
          <cell r="U14">
            <v>0.4859</v>
          </cell>
        </row>
        <row r="15">
          <cell r="B15" t="str">
            <v>СК-705 чайная роза</v>
          </cell>
          <cell r="C15">
            <v>0.14299999999999999</v>
          </cell>
          <cell r="E15" t="str">
            <v>МИРАЖ</v>
          </cell>
          <cell r="F15">
            <v>0.22209999999999999</v>
          </cell>
          <cell r="T15" t="str">
            <v>Тангейзер</v>
          </cell>
          <cell r="U15">
            <v>0.7571</v>
          </cell>
        </row>
        <row r="16">
          <cell r="B16" t="str">
            <v>СК-706 коралл матовый</v>
          </cell>
          <cell r="C16">
            <v>0.15340000000000001</v>
          </cell>
          <cell r="E16" t="str">
            <v>МИСТОРИ</v>
          </cell>
          <cell r="F16">
            <v>0.2266</v>
          </cell>
          <cell r="T16" t="str">
            <v>Тигровый глаз</v>
          </cell>
          <cell r="U16">
            <v>0.73509999999999998</v>
          </cell>
        </row>
        <row r="17">
          <cell r="B17" t="str">
            <v>СК-890 шоколад</v>
          </cell>
          <cell r="C17">
            <v>0.1017</v>
          </cell>
          <cell r="E17" t="str">
            <v>ОПТИМА</v>
          </cell>
          <cell r="F17">
            <v>0.31969999999999998</v>
          </cell>
          <cell r="T17" t="str">
            <v>Фрост</v>
          </cell>
          <cell r="U17">
            <v>0.98950000000000005</v>
          </cell>
        </row>
        <row r="18">
          <cell r="B18" t="str">
            <v>СК-900 металлик золото</v>
          </cell>
          <cell r="C18">
            <v>0.1094</v>
          </cell>
          <cell r="E18" t="str">
            <v>ОПТИМА экстра</v>
          </cell>
          <cell r="F18">
            <v>0.35299999999999998</v>
          </cell>
          <cell r="T18" t="str">
            <v>Шервуд</v>
          </cell>
          <cell r="U18">
            <v>0.7601</v>
          </cell>
        </row>
        <row r="19">
          <cell r="B19" t="str">
            <v>СК-901 металлик красное золото</v>
          </cell>
          <cell r="C19">
            <v>0.1094</v>
          </cell>
          <cell r="E19" t="str">
            <v>ПАЛОМА СТАНДАРТ</v>
          </cell>
          <cell r="F19">
            <v>0.245</v>
          </cell>
        </row>
        <row r="20">
          <cell r="B20" t="str">
            <v>СР-101Р белая перфорация</v>
          </cell>
          <cell r="C20">
            <v>0.16719999999999999</v>
          </cell>
          <cell r="E20" t="str">
            <v>ПАЛОМА ЭКСТРА ОРИГИНАЛ</v>
          </cell>
          <cell r="F20">
            <v>0.33600000000000002</v>
          </cell>
        </row>
        <row r="21">
          <cell r="B21" t="str">
            <v>СР-109 слоновая кость глянец</v>
          </cell>
          <cell r="C21">
            <v>0.1017</v>
          </cell>
          <cell r="E21" t="str">
            <v>ПРИНЦЕССА</v>
          </cell>
          <cell r="F21">
            <v>0.34279999999999999</v>
          </cell>
        </row>
        <row r="22">
          <cell r="B22" t="str">
            <v xml:space="preserve">СР-131 белый матовый </v>
          </cell>
          <cell r="C22">
            <v>0.1017</v>
          </cell>
          <cell r="E22" t="str">
            <v>САНДРА оригинал</v>
          </cell>
          <cell r="F22">
            <v>0.22789999999999999</v>
          </cell>
        </row>
        <row r="23">
          <cell r="B23" t="str">
            <v>СР-206 фуксия глянец</v>
          </cell>
          <cell r="C23">
            <v>0.1017</v>
          </cell>
          <cell r="E23" t="str">
            <v>САНДРА стандарт</v>
          </cell>
          <cell r="F23">
            <v>0.2152</v>
          </cell>
        </row>
        <row r="24">
          <cell r="B24" t="str">
            <v>СР-2105 манго</v>
          </cell>
          <cell r="C24">
            <v>0.1129</v>
          </cell>
          <cell r="E24" t="str">
            <v>ТАЙГА</v>
          </cell>
          <cell r="F24">
            <v>0.1956</v>
          </cell>
        </row>
        <row r="25">
          <cell r="B25" t="str">
            <v>СР-302 китайский чай</v>
          </cell>
          <cell r="C25">
            <v>0.1129</v>
          </cell>
          <cell r="E25" t="str">
            <v>ТАЙФУН</v>
          </cell>
          <cell r="F25">
            <v>0.19900000000000001</v>
          </cell>
        </row>
        <row r="26">
          <cell r="B26" t="str">
            <v>СР-306 желтый глянец</v>
          </cell>
          <cell r="C26">
            <v>0.1017</v>
          </cell>
          <cell r="E26" t="str">
            <v>ТРОСТНИКИ</v>
          </cell>
          <cell r="F26">
            <v>0.75409999999999999</v>
          </cell>
        </row>
        <row r="27">
          <cell r="B27" t="str">
            <v>СР-403 черный глянец</v>
          </cell>
          <cell r="C27">
            <v>0.1129</v>
          </cell>
          <cell r="E27" t="str">
            <v>УССУРИ оригинал</v>
          </cell>
          <cell r="F27">
            <v>0.23200000000000001</v>
          </cell>
        </row>
        <row r="28">
          <cell r="B28" t="str">
            <v xml:space="preserve">СР-405 бежевый глянец </v>
          </cell>
          <cell r="C28">
            <v>0.1017</v>
          </cell>
          <cell r="E28" t="str">
            <v>УССУРИ стандарт</v>
          </cell>
          <cell r="F28">
            <v>0.2258</v>
          </cell>
        </row>
        <row r="29">
          <cell r="B29" t="str">
            <v>СР-531 травяной глянец</v>
          </cell>
          <cell r="C29">
            <v>0.1017</v>
          </cell>
          <cell r="E29" t="str">
            <v>УССУРИ BLACKOUT</v>
          </cell>
          <cell r="F29">
            <v>0.37259999999999999</v>
          </cell>
        </row>
        <row r="30">
          <cell r="B30" t="str">
            <v>СР-550 салатный глянец</v>
          </cell>
          <cell r="C30">
            <v>0.1017</v>
          </cell>
          <cell r="E30" t="str">
            <v xml:space="preserve">ФИЕСТА </v>
          </cell>
          <cell r="F30">
            <v>0.54720000000000002</v>
          </cell>
        </row>
        <row r="31">
          <cell r="B31" t="str">
            <v xml:space="preserve">СР-601 голубой глянец </v>
          </cell>
          <cell r="C31">
            <v>0.1017</v>
          </cell>
          <cell r="E31" t="str">
            <v>ЧИП оригинал</v>
          </cell>
          <cell r="F31">
            <v>0.15379999999999999</v>
          </cell>
        </row>
        <row r="32">
          <cell r="B32" t="str">
            <v>СР-604 нежный абрикос</v>
          </cell>
          <cell r="C32">
            <v>0.1129</v>
          </cell>
          <cell r="E32" t="str">
            <v>ЧИП стандарт</v>
          </cell>
          <cell r="F32">
            <v>0.1429</v>
          </cell>
        </row>
        <row r="33">
          <cell r="B33" t="str">
            <v>СР-704 светло-розовый глянец</v>
          </cell>
          <cell r="C33">
            <v>0.1017</v>
          </cell>
          <cell r="E33" t="str">
            <v>Аврора</v>
          </cell>
          <cell r="F33">
            <v>0.35749999999999998</v>
          </cell>
        </row>
        <row r="34">
          <cell r="B34" t="str">
            <v>СР-707 японская роза</v>
          </cell>
          <cell r="C34">
            <v>0.1129</v>
          </cell>
          <cell r="E34" t="str">
            <v>Аруба</v>
          </cell>
          <cell r="F34">
            <v>0.36220000000000002</v>
          </cell>
        </row>
        <row r="35">
          <cell r="B35" t="str">
            <v>СР-708 лиловый глянец</v>
          </cell>
          <cell r="C35">
            <v>0.1017</v>
          </cell>
          <cell r="E35" t="str">
            <v>Бали</v>
          </cell>
          <cell r="F35">
            <v>0.21390000000000001</v>
          </cell>
        </row>
        <row r="36">
          <cell r="B36" t="str">
            <v>СР-821 серый глянец</v>
          </cell>
          <cell r="C36">
            <v>0.1017</v>
          </cell>
          <cell r="E36" t="str">
            <v>Бейрут</v>
          </cell>
          <cell r="F36">
            <v>0.36249999999999999</v>
          </cell>
        </row>
        <row r="37">
          <cell r="B37" t="str">
            <v>СР-891 кофейный глянец</v>
          </cell>
          <cell r="C37">
            <v>0.1129</v>
          </cell>
          <cell r="E37" t="str">
            <v>Венера</v>
          </cell>
          <cell r="F37">
            <v>0.23899999999999999</v>
          </cell>
        </row>
        <row r="38">
          <cell r="B38" t="str">
            <v>СР-892 лесной орех</v>
          </cell>
          <cell r="C38">
            <v>0.1129</v>
          </cell>
          <cell r="E38" t="str">
            <v>Венера ТЕХНО</v>
          </cell>
          <cell r="F38">
            <v>0.44359999999999999</v>
          </cell>
        </row>
        <row r="39">
          <cell r="B39" t="str">
            <v>СР-899 темный шоколад</v>
          </cell>
          <cell r="C39">
            <v>0.1129</v>
          </cell>
          <cell r="E39" t="str">
            <v>Венера золото, серебро</v>
          </cell>
          <cell r="F39">
            <v>0.312</v>
          </cell>
        </row>
        <row r="40">
          <cell r="B40" t="str">
            <v>СР-908/937 металлик золото/серебро</v>
          </cell>
          <cell r="C40">
            <v>0.1187</v>
          </cell>
          <cell r="E40" t="str">
            <v>Джангл</v>
          </cell>
          <cell r="F40">
            <v>0.40450000000000003</v>
          </cell>
        </row>
        <row r="41">
          <cell r="B41" t="str">
            <v>СР-912 2/3 металлик стальной перфорированный</v>
          </cell>
          <cell r="C41">
            <v>0.1734</v>
          </cell>
          <cell r="E41" t="str">
            <v>Диско</v>
          </cell>
          <cell r="F41">
            <v>0.1721</v>
          </cell>
        </row>
        <row r="42">
          <cell r="B42" t="str">
            <v>СР-912 металлик стальной</v>
          </cell>
          <cell r="C42">
            <v>0.1094</v>
          </cell>
          <cell r="E42" t="str">
            <v>Жакард BLACKOUT</v>
          </cell>
          <cell r="F42">
            <v>0.51800000000000002</v>
          </cell>
        </row>
        <row r="43">
          <cell r="B43" t="str">
            <v>СР-937 металлик стальной матовый</v>
          </cell>
          <cell r="C43">
            <v>0.1094</v>
          </cell>
          <cell r="E43" t="str">
            <v>Жакард №1</v>
          </cell>
          <cell r="F43">
            <v>0.2412</v>
          </cell>
        </row>
        <row r="44">
          <cell r="B44" t="str">
            <v>СР-908 металлик бронза</v>
          </cell>
          <cell r="C44">
            <v>0.1094</v>
          </cell>
          <cell r="E44" t="str">
            <v>Жемчуг</v>
          </cell>
          <cell r="F44">
            <v>0.47020000000000001</v>
          </cell>
        </row>
        <row r="45">
          <cell r="B45" t="str">
            <v>СР-D2187 розовый жемчуг</v>
          </cell>
          <cell r="C45">
            <v>0.1923</v>
          </cell>
          <cell r="E45" t="str">
            <v>Жемчуг  BLACKOUT</v>
          </cell>
          <cell r="F45">
            <v>0.74299999999999999</v>
          </cell>
        </row>
        <row r="46">
          <cell r="B46" t="str">
            <v xml:space="preserve">СР-2801 металлик ледяное сияние </v>
          </cell>
          <cell r="C46">
            <v>0.2006</v>
          </cell>
          <cell r="E46" t="str">
            <v>Замша</v>
          </cell>
          <cell r="F46">
            <v>0.58340000000000003</v>
          </cell>
        </row>
        <row r="47">
          <cell r="B47" t="str">
            <v xml:space="preserve">D6219 Жемчужный синий </v>
          </cell>
          <cell r="C47">
            <v>0.20319999999999999</v>
          </cell>
          <cell r="E47" t="str">
            <v>Зодиак</v>
          </cell>
          <cell r="F47">
            <v>0.24110000000000001</v>
          </cell>
        </row>
        <row r="48">
          <cell r="B48" t="str">
            <v xml:space="preserve">WF4493 Дерево вишня </v>
          </cell>
          <cell r="C48">
            <v>0.19719999999999999</v>
          </cell>
          <cell r="E48" t="str">
            <v>Кёльн</v>
          </cell>
          <cell r="F48">
            <v>0.1605</v>
          </cell>
        </row>
        <row r="49">
          <cell r="B49" t="str">
            <v>WA4402 Дерево ясень</v>
          </cell>
          <cell r="C49">
            <v>0.19719999999999999</v>
          </cell>
          <cell r="E49" t="str">
            <v>Крит</v>
          </cell>
          <cell r="F49">
            <v>1.2726</v>
          </cell>
        </row>
        <row r="50">
          <cell r="B50" t="str">
            <v>WA4403 Дерево тик</v>
          </cell>
          <cell r="C50">
            <v>0.19719999999999999</v>
          </cell>
          <cell r="E50" t="str">
            <v>Кобра</v>
          </cell>
          <cell r="F50">
            <v>0.39839999999999998</v>
          </cell>
        </row>
        <row r="51">
          <cell r="B51" t="str">
            <v>WA4400 Дерево светлый бук</v>
          </cell>
          <cell r="C51">
            <v>0.19719999999999999</v>
          </cell>
          <cell r="E51" t="str">
            <v>Лайн ll</v>
          </cell>
          <cell r="F51">
            <v>0.14360000000000001</v>
          </cell>
        </row>
        <row r="52">
          <cell r="B52" t="str">
            <v>WA4407 Дерево светлый дуб</v>
          </cell>
          <cell r="C52">
            <v>0.19719999999999999</v>
          </cell>
          <cell r="E52" t="str">
            <v>Лейла</v>
          </cell>
          <cell r="F52">
            <v>0.49909999999999999</v>
          </cell>
        </row>
        <row r="53">
          <cell r="E53" t="str">
            <v>Мальта</v>
          </cell>
          <cell r="F53">
            <v>0.16450000000000001</v>
          </cell>
        </row>
        <row r="54">
          <cell r="E54" t="str">
            <v>Милан</v>
          </cell>
          <cell r="F54">
            <v>0.22189999999999999</v>
          </cell>
        </row>
        <row r="55">
          <cell r="E55" t="str">
            <v>Манила</v>
          </cell>
          <cell r="F55">
            <v>0.55010000000000003</v>
          </cell>
        </row>
        <row r="56">
          <cell r="E56" t="str">
            <v>Модерн МЕТАЛЛИК</v>
          </cell>
          <cell r="F56">
            <v>0.3679</v>
          </cell>
        </row>
        <row r="57">
          <cell r="E57" t="str">
            <v>Оптима</v>
          </cell>
          <cell r="F57">
            <v>0.38890000000000002</v>
          </cell>
        </row>
        <row r="58">
          <cell r="E58" t="str">
            <v>Офелия</v>
          </cell>
          <cell r="F58">
            <v>0.52200000000000002</v>
          </cell>
        </row>
        <row r="59">
          <cell r="E59" t="str">
            <v>Офис  BLACKOUT</v>
          </cell>
          <cell r="F59">
            <v>0.49159999999999998</v>
          </cell>
        </row>
        <row r="60">
          <cell r="E60" t="str">
            <v>Ратан</v>
          </cell>
          <cell r="F60">
            <v>0.4002</v>
          </cell>
        </row>
        <row r="61">
          <cell r="E61" t="str">
            <v>Рейн</v>
          </cell>
          <cell r="F61">
            <v>0.22339999999999999</v>
          </cell>
        </row>
        <row r="62">
          <cell r="E62" t="str">
            <v>Рио</v>
          </cell>
          <cell r="F62">
            <v>0.2185</v>
          </cell>
        </row>
        <row r="63">
          <cell r="E63" t="str">
            <v>Рококо</v>
          </cell>
          <cell r="F63">
            <v>0.29699999999999999</v>
          </cell>
        </row>
        <row r="64">
          <cell r="B64" t="b">
            <v>1</v>
          </cell>
          <cell r="C64">
            <v>1</v>
          </cell>
          <cell r="E64" t="str">
            <v>Саванна</v>
          </cell>
          <cell r="F64">
            <v>0.29699999999999999</v>
          </cell>
        </row>
        <row r="65">
          <cell r="B65">
            <v>0</v>
          </cell>
          <cell r="C65">
            <v>0</v>
          </cell>
          <cell r="E65" t="str">
            <v>Сеул</v>
          </cell>
          <cell r="F65">
            <v>0.1837</v>
          </cell>
        </row>
        <row r="66">
          <cell r="B66">
            <v>0</v>
          </cell>
          <cell r="C66">
            <v>0</v>
          </cell>
          <cell r="E66" t="str">
            <v>Сиде</v>
          </cell>
          <cell r="F66">
            <v>0.24349999999999999</v>
          </cell>
        </row>
        <row r="67">
          <cell r="B67">
            <v>0</v>
          </cell>
          <cell r="C67">
            <v>0</v>
          </cell>
          <cell r="E67" t="str">
            <v>Сиде BLACKOUT</v>
          </cell>
          <cell r="F67">
            <v>0.54110000000000003</v>
          </cell>
        </row>
        <row r="68">
          <cell r="B68">
            <v>0</v>
          </cell>
          <cell r="C68">
            <v>0</v>
          </cell>
          <cell r="E68" t="str">
            <v>Сказка</v>
          </cell>
          <cell r="F68">
            <v>0.27150000000000002</v>
          </cell>
        </row>
        <row r="69">
          <cell r="B69">
            <v>0</v>
          </cell>
          <cell r="C69">
            <v>0</v>
          </cell>
          <cell r="E69" t="str">
            <v xml:space="preserve">Скрин </v>
          </cell>
          <cell r="F69">
            <v>0.99390000000000001</v>
          </cell>
        </row>
        <row r="70">
          <cell r="B70" t="b">
            <v>0</v>
          </cell>
          <cell r="C70">
            <v>0</v>
          </cell>
          <cell r="E70" t="str">
            <v>Скрин ll</v>
          </cell>
          <cell r="F70">
            <v>0.79530000000000001</v>
          </cell>
        </row>
        <row r="71">
          <cell r="E71" t="str">
            <v>Студио</v>
          </cell>
          <cell r="F71">
            <v>1.2987</v>
          </cell>
        </row>
        <row r="72">
          <cell r="E72" t="str">
            <v>Сутра</v>
          </cell>
          <cell r="F72">
            <v>1.2795000000000001</v>
          </cell>
        </row>
        <row r="73">
          <cell r="E73" t="str">
            <v>Сфера</v>
          </cell>
          <cell r="F73">
            <v>0.29699999999999999</v>
          </cell>
        </row>
        <row r="74">
          <cell r="E74" t="str">
            <v>Твист</v>
          </cell>
          <cell r="F74">
            <v>0.25629999999999997</v>
          </cell>
        </row>
        <row r="75">
          <cell r="E75" t="str">
            <v>Флора</v>
          </cell>
          <cell r="F75">
            <v>1.4559</v>
          </cell>
        </row>
        <row r="76">
          <cell r="E76" t="str">
            <v>Шелк</v>
          </cell>
          <cell r="F76">
            <v>0.4819</v>
          </cell>
        </row>
        <row r="77">
          <cell r="E77" t="str">
            <v>Путь самурая</v>
          </cell>
          <cell r="F77">
            <v>0.77900000000000003</v>
          </cell>
        </row>
        <row r="78">
          <cell r="E78" t="str">
            <v>Чайная церемония</v>
          </cell>
          <cell r="F78">
            <v>0.77900000000000003</v>
          </cell>
        </row>
        <row r="79">
          <cell r="E79" t="str">
            <v>Чио-Чио-Сан</v>
          </cell>
          <cell r="F79">
            <v>0.77900000000000003</v>
          </cell>
        </row>
        <row r="80">
          <cell r="E80" t="str">
            <v>Эдем</v>
          </cell>
          <cell r="F80">
            <v>0.27729999999999999</v>
          </cell>
        </row>
        <row r="81">
          <cell r="E81" t="str">
            <v>Эйлат</v>
          </cell>
          <cell r="F81">
            <v>0.2903</v>
          </cell>
        </row>
        <row r="82">
          <cell r="E82" t="str">
            <v>Юкка</v>
          </cell>
          <cell r="F82">
            <v>0.28249999999999997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-Расчет"/>
      <sheetName val="Компл. 1С группы"/>
      <sheetName val="ВЖ"/>
      <sheetName val="ВЖ LUX"/>
      <sheetName val="ВЖ сшивные (арка)"/>
      <sheetName val="ВЖ мультифактура"/>
      <sheetName val="ВЖ пластик"/>
      <sheetName val="ВЖ карниз"/>
      <sheetName val="ВЖ дек.карниз"/>
      <sheetName val="ВЖ ламели"/>
      <sheetName val="ГЖ HOLIS"/>
      <sheetName val="ГЖ Venus"/>
      <sheetName val="Ролло дуэт"/>
      <sheetName val="LVT 45"/>
      <sheetName val="Ролло MGII"/>
      <sheetName val="Ролло LUX"/>
      <sheetName val="Ролло LUX c коробом"/>
      <sheetName val="UNI-1"/>
      <sheetName val="UNI-2"/>
      <sheetName val="UNI-пруж"/>
      <sheetName val="UNI дуэт"/>
      <sheetName val="MINI"/>
      <sheetName val="Зебра Ролло LUX"/>
      <sheetName val="Кассетная ролло LUX зебра"/>
      <sheetName val="Зебра UNI-1"/>
      <sheetName val="Зебра UNI-2"/>
      <sheetName val="Зебра MINI"/>
      <sheetName val="Римские"/>
      <sheetName val="Римские пышные"/>
      <sheetName val="Римские сшивные"/>
      <sheetName val="Римские сшивные пышные"/>
      <sheetName val="MINI римские"/>
      <sheetName val="MINI  римские пышные"/>
      <sheetName val="MINI римские сшивные"/>
      <sheetName val="MINI римские сшивные пышные"/>
      <sheetName val="Японские"/>
      <sheetName val="ВЖ бриз УДАЛИТЬ"/>
      <sheetName val="ВЖ ханас УДАЛИТЬ"/>
      <sheetName val="не трога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2">
          <cell r="B2" t="str">
            <v xml:space="preserve">НМ-101 белый глянец </v>
          </cell>
          <cell r="C2">
            <v>9.5600000000000004E-2</v>
          </cell>
          <cell r="E2" t="str">
            <v>АНТАРЕС</v>
          </cell>
          <cell r="F2">
            <v>0.105</v>
          </cell>
          <cell r="N2" t="str">
            <v>Бриз</v>
          </cell>
          <cell r="O2">
            <v>2.4304999999999999</v>
          </cell>
          <cell r="T2" t="str">
            <v>Аквамарин</v>
          </cell>
          <cell r="U2">
            <v>0.86499999999999999</v>
          </cell>
        </row>
        <row r="3">
          <cell r="B3" t="str">
            <v>НМ-115 молочный глянец</v>
          </cell>
          <cell r="C3">
            <v>0.1017</v>
          </cell>
          <cell r="E3" t="str">
            <v xml:space="preserve">АРИЭЛЬ оригинал         </v>
          </cell>
          <cell r="F3">
            <v>0.21859999999999999</v>
          </cell>
          <cell r="N3" t="str">
            <v>Бриз Multi</v>
          </cell>
          <cell r="O3">
            <v>2.4304999999999999</v>
          </cell>
          <cell r="T3" t="str">
            <v>Антик</v>
          </cell>
          <cell r="U3">
            <v>0.78290000000000004</v>
          </cell>
        </row>
        <row r="4">
          <cell r="B4" t="str">
            <v>НМ-117 светло-бежевый глянец</v>
          </cell>
          <cell r="C4">
            <v>9.0899999999999995E-2</v>
          </cell>
          <cell r="E4" t="str">
            <v>АРИЭЛЬ стандарт</v>
          </cell>
          <cell r="F4">
            <v>0.2114</v>
          </cell>
          <cell r="N4" t="str">
            <v>Бриз Double Белый</v>
          </cell>
          <cell r="O4">
            <v>2.8125</v>
          </cell>
          <cell r="T4" t="str">
            <v>Бук</v>
          </cell>
          <cell r="U4">
            <v>0.78290000000000004</v>
          </cell>
        </row>
        <row r="5">
          <cell r="B5" t="str">
            <v xml:space="preserve">НМ-313 бирюзовый глянец </v>
          </cell>
          <cell r="C5">
            <v>0.1017</v>
          </cell>
          <cell r="E5" t="str">
            <v>ВЕНЕЦИЯ</v>
          </cell>
          <cell r="F5">
            <v>0.23019999999999999</v>
          </cell>
          <cell r="N5" t="str">
            <v>Бриз Double Бежевый</v>
          </cell>
          <cell r="O5">
            <v>2.8125</v>
          </cell>
          <cell r="T5" t="str">
            <v>Валентино</v>
          </cell>
          <cell r="U5">
            <v>0.78290000000000004</v>
          </cell>
        </row>
        <row r="6">
          <cell r="B6" t="str">
            <v>НМ-411 розовый глянец</v>
          </cell>
          <cell r="C6">
            <v>0.1017</v>
          </cell>
          <cell r="E6" t="str">
            <v xml:space="preserve">ГРАНД </v>
          </cell>
          <cell r="F6">
            <v>0.22209999999999999</v>
          </cell>
          <cell r="N6" t="str">
            <v>Бриз Double Персиковый</v>
          </cell>
          <cell r="O6">
            <v>2.8125</v>
          </cell>
          <cell r="T6" t="str">
            <v>Дуб</v>
          </cell>
          <cell r="U6">
            <v>0.7601</v>
          </cell>
        </row>
        <row r="7">
          <cell r="B7" t="str">
            <v>НМ-565 светло-голубой глянец</v>
          </cell>
          <cell r="C7">
            <v>0.1017</v>
          </cell>
          <cell r="E7" t="str">
            <v>ЕЛОЧКА оригинал</v>
          </cell>
          <cell r="F7">
            <v>0.2324</v>
          </cell>
          <cell r="N7" t="str">
            <v>Бриз Double Белый 1606</v>
          </cell>
          <cell r="O7">
            <v>4.4032</v>
          </cell>
          <cell r="T7" t="str">
            <v>Карелия</v>
          </cell>
          <cell r="U7">
            <v>0.71160000000000001</v>
          </cell>
        </row>
        <row r="8">
          <cell r="B8" t="str">
            <v>НМ-734 белый жемчуг</v>
          </cell>
          <cell r="C8">
            <v>0.1923</v>
          </cell>
          <cell r="E8" t="str">
            <v>ЁЛОЧКА стандарт</v>
          </cell>
          <cell r="F8">
            <v>0.22070000000000001</v>
          </cell>
          <cell r="N8" t="str">
            <v>Бриз Double Коричневый 2871</v>
          </cell>
          <cell r="O8">
            <v>4.4032</v>
          </cell>
          <cell r="T8" t="str">
            <v>Клен</v>
          </cell>
          <cell r="U8">
            <v>0.7601</v>
          </cell>
        </row>
        <row r="9">
          <cell r="B9" t="str">
            <v>НМ-816 металлик желтый металлик</v>
          </cell>
          <cell r="C9">
            <v>0.1636</v>
          </cell>
          <cell r="E9" t="str">
            <v>ЗОЛОТАРИ</v>
          </cell>
          <cell r="F9">
            <v>0.105</v>
          </cell>
          <cell r="N9" t="str">
            <v>Бриз Double Кремовый 4221</v>
          </cell>
          <cell r="O9">
            <v>4.4032</v>
          </cell>
          <cell r="T9" t="str">
            <v>Лоэнгрин</v>
          </cell>
          <cell r="U9">
            <v>0.87350000000000005</v>
          </cell>
        </row>
        <row r="10">
          <cell r="B10" t="str">
            <v>НМ-929 дерево сосна</v>
          </cell>
          <cell r="C10">
            <v>0.19719999999999999</v>
          </cell>
          <cell r="E10" t="str">
            <v>КВЕБЕК</v>
          </cell>
          <cell r="F10">
            <v>0.30470000000000003</v>
          </cell>
          <cell r="N10" t="str">
            <v>Бриз Double Черный 1909</v>
          </cell>
          <cell r="O10">
            <v>4.4032</v>
          </cell>
          <cell r="T10" t="str">
            <v>Мрамор II</v>
          </cell>
          <cell r="U10">
            <v>0.74339999999999995</v>
          </cell>
        </row>
        <row r="11">
          <cell r="B11" t="str">
            <v>СК-107 металлик снежное серебро</v>
          </cell>
          <cell r="C11">
            <v>0.1636</v>
          </cell>
          <cell r="E11" t="str">
            <v>ЛАЙН оригинал</v>
          </cell>
          <cell r="F11">
            <v>0.15559999999999999</v>
          </cell>
          <cell r="T11" t="str">
            <v>Парсифаль</v>
          </cell>
          <cell r="U11">
            <v>0.85489999999999999</v>
          </cell>
        </row>
        <row r="12">
          <cell r="B12" t="str">
            <v>СК-108 металлик альпийский снег</v>
          </cell>
          <cell r="C12">
            <v>0.1636</v>
          </cell>
          <cell r="E12" t="str">
            <v>ЛАЙН стандарт</v>
          </cell>
          <cell r="F12">
            <v>0.13350000000000001</v>
          </cell>
          <cell r="T12" t="str">
            <v>Рибкорд</v>
          </cell>
          <cell r="U12">
            <v>0.53639999999999999</v>
          </cell>
        </row>
        <row r="13">
          <cell r="B13" t="str">
            <v>СК-530 лимонный</v>
          </cell>
          <cell r="C13">
            <v>0.1017</v>
          </cell>
          <cell r="E13" t="str">
            <v>МАГНОЛИЯ оригинал</v>
          </cell>
          <cell r="F13">
            <v>0.15820000000000001</v>
          </cell>
          <cell r="T13" t="str">
            <v>Сканди</v>
          </cell>
          <cell r="U13">
            <v>0.85499999999999998</v>
          </cell>
        </row>
        <row r="14">
          <cell r="B14" t="str">
            <v>СК-602 голубой соболь  матовый</v>
          </cell>
          <cell r="C14">
            <v>0.15340000000000001</v>
          </cell>
          <cell r="E14" t="str">
            <v>МАГНОЛИЯ стандарт</v>
          </cell>
          <cell r="F14">
            <v>0.15190000000000001</v>
          </cell>
          <cell r="T14" t="str">
            <v>Стандарт</v>
          </cell>
          <cell r="U14">
            <v>0.4859</v>
          </cell>
        </row>
        <row r="15">
          <cell r="B15" t="str">
            <v>СК-705 чайная роза</v>
          </cell>
          <cell r="C15">
            <v>0.14299999999999999</v>
          </cell>
          <cell r="E15" t="str">
            <v>МИРАЖ</v>
          </cell>
          <cell r="F15">
            <v>0.22209999999999999</v>
          </cell>
          <cell r="T15" t="str">
            <v>Тангейзер</v>
          </cell>
          <cell r="U15">
            <v>0.7571</v>
          </cell>
        </row>
        <row r="16">
          <cell r="B16" t="str">
            <v>СК-706 коралл матовый</v>
          </cell>
          <cell r="C16">
            <v>0.15340000000000001</v>
          </cell>
          <cell r="E16" t="str">
            <v>МИСТОРИ</v>
          </cell>
          <cell r="F16">
            <v>0.2266</v>
          </cell>
          <cell r="T16" t="str">
            <v>Тигровый глаз</v>
          </cell>
          <cell r="U16">
            <v>0.73509999999999998</v>
          </cell>
        </row>
        <row r="17">
          <cell r="B17" t="str">
            <v>СК-890 шоколад</v>
          </cell>
          <cell r="C17">
            <v>0.1017</v>
          </cell>
          <cell r="E17" t="str">
            <v>ОПТИМА</v>
          </cell>
          <cell r="F17">
            <v>0.31969999999999998</v>
          </cell>
          <cell r="T17" t="str">
            <v>Фрост</v>
          </cell>
          <cell r="U17">
            <v>0.98950000000000005</v>
          </cell>
        </row>
        <row r="18">
          <cell r="B18" t="str">
            <v>СК-900 металлик золото</v>
          </cell>
          <cell r="C18">
            <v>0.1094</v>
          </cell>
          <cell r="E18" t="str">
            <v>ОПТИМА экстра</v>
          </cell>
          <cell r="F18">
            <v>0.35299999999999998</v>
          </cell>
          <cell r="T18" t="str">
            <v>Шервуд</v>
          </cell>
          <cell r="U18">
            <v>0.7601</v>
          </cell>
        </row>
        <row r="19">
          <cell r="B19" t="str">
            <v>СК-901 металлик красное золото</v>
          </cell>
          <cell r="C19">
            <v>0.1094</v>
          </cell>
          <cell r="E19" t="str">
            <v>ПАЛОМА СТАНДАРТ</v>
          </cell>
          <cell r="F19">
            <v>0.245</v>
          </cell>
        </row>
        <row r="20">
          <cell r="B20" t="str">
            <v>СР-101Р белая перфорация</v>
          </cell>
          <cell r="C20">
            <v>0.16719999999999999</v>
          </cell>
          <cell r="E20" t="str">
            <v>ПАЛОМА ЭКСТРА ОРИГИНАЛ</v>
          </cell>
          <cell r="F20">
            <v>0.33600000000000002</v>
          </cell>
        </row>
        <row r="21">
          <cell r="B21" t="str">
            <v>СР-109 слоновая кость глянец</v>
          </cell>
          <cell r="C21">
            <v>0.1017</v>
          </cell>
          <cell r="E21" t="str">
            <v>ПРИНЦЕССА</v>
          </cell>
          <cell r="F21">
            <v>0.34279999999999999</v>
          </cell>
        </row>
        <row r="22">
          <cell r="B22" t="str">
            <v xml:space="preserve">СР-131 белый матовый </v>
          </cell>
          <cell r="C22">
            <v>0.1017</v>
          </cell>
          <cell r="E22" t="str">
            <v>САНДРА оригинал</v>
          </cell>
          <cell r="F22">
            <v>0.22789999999999999</v>
          </cell>
        </row>
        <row r="23">
          <cell r="B23" t="str">
            <v>СР-206 фуксия глянец</v>
          </cell>
          <cell r="C23">
            <v>0.1017</v>
          </cell>
          <cell r="E23" t="str">
            <v>САНДРА стандарт</v>
          </cell>
          <cell r="F23">
            <v>0.2152</v>
          </cell>
        </row>
        <row r="24">
          <cell r="B24" t="str">
            <v>СР-2105 манго</v>
          </cell>
          <cell r="C24">
            <v>0.1129</v>
          </cell>
          <cell r="E24" t="str">
            <v>ТАЙГА</v>
          </cell>
          <cell r="F24">
            <v>0.1956</v>
          </cell>
        </row>
        <row r="25">
          <cell r="B25" t="str">
            <v>СР-302 китайский чай</v>
          </cell>
          <cell r="C25">
            <v>0.1129</v>
          </cell>
          <cell r="E25" t="str">
            <v>ТАЙФУН</v>
          </cell>
          <cell r="F25">
            <v>0.19900000000000001</v>
          </cell>
        </row>
        <row r="26">
          <cell r="B26" t="str">
            <v>СР-306 желтый глянец</v>
          </cell>
          <cell r="C26">
            <v>0.1017</v>
          </cell>
          <cell r="E26" t="str">
            <v>ТРОСТНИКИ</v>
          </cell>
          <cell r="F26">
            <v>0.75409999999999999</v>
          </cell>
        </row>
        <row r="27">
          <cell r="B27" t="str">
            <v>СР-403 черный глянец</v>
          </cell>
          <cell r="C27">
            <v>0.1129</v>
          </cell>
          <cell r="E27" t="str">
            <v>УССУРИ оригинал</v>
          </cell>
          <cell r="F27">
            <v>0.23200000000000001</v>
          </cell>
        </row>
        <row r="28">
          <cell r="B28" t="str">
            <v xml:space="preserve">СР-405 бежевый глянец </v>
          </cell>
          <cell r="C28">
            <v>0.1017</v>
          </cell>
          <cell r="E28" t="str">
            <v>УССУРИ стандарт</v>
          </cell>
          <cell r="F28">
            <v>0.2258</v>
          </cell>
        </row>
        <row r="29">
          <cell r="B29" t="str">
            <v>СР-531 травяной глянец</v>
          </cell>
          <cell r="C29">
            <v>0.1017</v>
          </cell>
          <cell r="E29" t="str">
            <v>УССУРИ BLACKOUT</v>
          </cell>
          <cell r="F29">
            <v>0.37259999999999999</v>
          </cell>
        </row>
        <row r="30">
          <cell r="B30" t="str">
            <v>СР-550 салатный глянец</v>
          </cell>
          <cell r="C30">
            <v>0.1017</v>
          </cell>
          <cell r="E30" t="str">
            <v xml:space="preserve">ФИЕСТА </v>
          </cell>
          <cell r="F30">
            <v>0.54720000000000002</v>
          </cell>
        </row>
        <row r="31">
          <cell r="B31" t="str">
            <v xml:space="preserve">СР-601 голубой глянец </v>
          </cell>
          <cell r="C31">
            <v>0.1017</v>
          </cell>
          <cell r="E31" t="str">
            <v>ЧИП оригинал</v>
          </cell>
          <cell r="F31">
            <v>0.15379999999999999</v>
          </cell>
        </row>
        <row r="32">
          <cell r="B32" t="str">
            <v>СР-604 нежный абрикос</v>
          </cell>
          <cell r="C32">
            <v>0.1129</v>
          </cell>
          <cell r="E32" t="str">
            <v>ЧИП стандарт</v>
          </cell>
          <cell r="F32">
            <v>0.1429</v>
          </cell>
        </row>
        <row r="33">
          <cell r="B33" t="str">
            <v>СР-704 светло-розовый глянец</v>
          </cell>
          <cell r="C33">
            <v>0.1017</v>
          </cell>
          <cell r="E33" t="str">
            <v>Аврора</v>
          </cell>
          <cell r="F33">
            <v>0.35749999999999998</v>
          </cell>
        </row>
        <row r="34">
          <cell r="B34" t="str">
            <v>СР-707 японская роза</v>
          </cell>
          <cell r="C34">
            <v>0.1129</v>
          </cell>
          <cell r="E34" t="str">
            <v>Аруба</v>
          </cell>
          <cell r="F34">
            <v>0.36220000000000002</v>
          </cell>
        </row>
        <row r="35">
          <cell r="B35" t="str">
            <v>СР-708 лиловый глянец</v>
          </cell>
          <cell r="C35">
            <v>0.1017</v>
          </cell>
          <cell r="E35" t="str">
            <v>Бали</v>
          </cell>
          <cell r="F35">
            <v>0.21390000000000001</v>
          </cell>
        </row>
        <row r="36">
          <cell r="B36" t="str">
            <v>СР-821 серый глянец</v>
          </cell>
          <cell r="C36">
            <v>0.1017</v>
          </cell>
          <cell r="E36" t="str">
            <v>Бейрут</v>
          </cell>
          <cell r="F36">
            <v>0.36249999999999999</v>
          </cell>
        </row>
        <row r="37">
          <cell r="B37" t="str">
            <v>СР-891 кофейный глянец</v>
          </cell>
          <cell r="C37">
            <v>0.1129</v>
          </cell>
          <cell r="E37" t="str">
            <v>Венера</v>
          </cell>
          <cell r="F37">
            <v>0.23899999999999999</v>
          </cell>
        </row>
        <row r="38">
          <cell r="B38" t="str">
            <v>СР-892 лесной орех</v>
          </cell>
          <cell r="C38">
            <v>0.1129</v>
          </cell>
          <cell r="E38" t="str">
            <v>Венера ТЕХНО</v>
          </cell>
          <cell r="F38">
            <v>0.44359999999999999</v>
          </cell>
        </row>
        <row r="39">
          <cell r="B39" t="str">
            <v>СР-899 темный шоколад</v>
          </cell>
          <cell r="C39">
            <v>0.1129</v>
          </cell>
          <cell r="E39" t="str">
            <v>Венера золото, серебро</v>
          </cell>
          <cell r="F39">
            <v>0.312</v>
          </cell>
        </row>
        <row r="40">
          <cell r="B40" t="str">
            <v>СР-908/937 металлик золото/серебро</v>
          </cell>
          <cell r="C40">
            <v>0.1187</v>
          </cell>
          <cell r="E40" t="str">
            <v>Джангл</v>
          </cell>
          <cell r="F40">
            <v>0.40450000000000003</v>
          </cell>
        </row>
        <row r="41">
          <cell r="B41" t="str">
            <v>СР-912 2/3 металлик стальной перфорированный</v>
          </cell>
          <cell r="C41">
            <v>0.1734</v>
          </cell>
          <cell r="E41" t="str">
            <v>Диско</v>
          </cell>
          <cell r="F41">
            <v>0.1721</v>
          </cell>
        </row>
        <row r="42">
          <cell r="B42" t="str">
            <v>СР-912 металлик стальной</v>
          </cell>
          <cell r="C42">
            <v>0.1094</v>
          </cell>
          <cell r="E42" t="str">
            <v>Жакард BLACKOUT</v>
          </cell>
          <cell r="F42">
            <v>0.51800000000000002</v>
          </cell>
        </row>
        <row r="43">
          <cell r="B43" t="str">
            <v>СР-937 металлик стальной матовый</v>
          </cell>
          <cell r="C43">
            <v>0.1094</v>
          </cell>
          <cell r="E43" t="str">
            <v>Жакард №1</v>
          </cell>
          <cell r="F43">
            <v>0.2412</v>
          </cell>
        </row>
        <row r="44">
          <cell r="B44" t="str">
            <v>СР-908 металлик бронза</v>
          </cell>
          <cell r="C44">
            <v>0.1094</v>
          </cell>
          <cell r="E44" t="str">
            <v>Жемчуг</v>
          </cell>
          <cell r="F44">
            <v>0.47020000000000001</v>
          </cell>
        </row>
        <row r="45">
          <cell r="B45" t="str">
            <v>СР-D2187 розовый жемчуг</v>
          </cell>
          <cell r="C45">
            <v>0.1923</v>
          </cell>
          <cell r="E45" t="str">
            <v>Жемчуг  BLACKOUT</v>
          </cell>
          <cell r="F45">
            <v>0.74299999999999999</v>
          </cell>
        </row>
        <row r="46">
          <cell r="B46" t="str">
            <v xml:space="preserve">СР-2801 металлик ледяное сияние </v>
          </cell>
          <cell r="C46">
            <v>0.2006</v>
          </cell>
          <cell r="E46" t="str">
            <v>Замша</v>
          </cell>
          <cell r="F46">
            <v>0.58340000000000003</v>
          </cell>
        </row>
        <row r="47">
          <cell r="B47" t="str">
            <v xml:space="preserve">D6219 Жемчужный синий </v>
          </cell>
          <cell r="C47">
            <v>0.20319999999999999</v>
          </cell>
          <cell r="E47" t="str">
            <v>Зодиак</v>
          </cell>
          <cell r="F47">
            <v>0.24110000000000001</v>
          </cell>
        </row>
        <row r="48">
          <cell r="B48" t="str">
            <v xml:space="preserve">WF4493 Дерево вишня </v>
          </cell>
          <cell r="C48">
            <v>0.19719999999999999</v>
          </cell>
          <cell r="E48" t="str">
            <v>Кёльн</v>
          </cell>
          <cell r="F48">
            <v>0.1605</v>
          </cell>
        </row>
        <row r="49">
          <cell r="B49" t="str">
            <v>WA4402 Дерево ясень</v>
          </cell>
          <cell r="C49">
            <v>0.19719999999999999</v>
          </cell>
          <cell r="E49" t="str">
            <v>Крит</v>
          </cell>
          <cell r="F49">
            <v>1.2726</v>
          </cell>
        </row>
        <row r="50">
          <cell r="B50" t="str">
            <v>WA4403 Дерево тик</v>
          </cell>
          <cell r="C50">
            <v>0.19719999999999999</v>
          </cell>
          <cell r="E50" t="str">
            <v>Кобра</v>
          </cell>
          <cell r="F50">
            <v>0.39839999999999998</v>
          </cell>
        </row>
        <row r="51">
          <cell r="B51" t="str">
            <v>WA4400 Дерево светлый бук</v>
          </cell>
          <cell r="C51">
            <v>0.19719999999999999</v>
          </cell>
          <cell r="E51" t="str">
            <v>Лайн ll</v>
          </cell>
          <cell r="F51">
            <v>0.14360000000000001</v>
          </cell>
        </row>
        <row r="52">
          <cell r="B52" t="str">
            <v>WA4407 Дерево светлый дуб</v>
          </cell>
          <cell r="C52">
            <v>0.19719999999999999</v>
          </cell>
          <cell r="E52" t="str">
            <v>Лейла</v>
          </cell>
          <cell r="F52">
            <v>0.49909999999999999</v>
          </cell>
        </row>
        <row r="53">
          <cell r="E53" t="str">
            <v>Мальта</v>
          </cell>
          <cell r="F53">
            <v>0.16450000000000001</v>
          </cell>
        </row>
        <row r="54">
          <cell r="E54" t="str">
            <v>Милан</v>
          </cell>
          <cell r="F54">
            <v>0.22189999999999999</v>
          </cell>
        </row>
        <row r="55">
          <cell r="E55" t="str">
            <v>Манила</v>
          </cell>
          <cell r="F55">
            <v>0.55010000000000003</v>
          </cell>
        </row>
        <row r="56">
          <cell r="E56" t="str">
            <v>Модерн МЕТАЛЛИК</v>
          </cell>
          <cell r="F56">
            <v>0.3679</v>
          </cell>
        </row>
        <row r="57">
          <cell r="E57" t="str">
            <v>Оптима</v>
          </cell>
          <cell r="F57">
            <v>0.38890000000000002</v>
          </cell>
        </row>
        <row r="58">
          <cell r="E58" t="str">
            <v>Офелия</v>
          </cell>
          <cell r="F58">
            <v>0.52200000000000002</v>
          </cell>
        </row>
        <row r="59">
          <cell r="E59" t="str">
            <v>Офис  BLACKOUT</v>
          </cell>
          <cell r="F59">
            <v>0.49159999999999998</v>
          </cell>
        </row>
        <row r="60">
          <cell r="E60" t="str">
            <v>Ратан</v>
          </cell>
          <cell r="F60">
            <v>0.4002</v>
          </cell>
        </row>
        <row r="61">
          <cell r="E61" t="str">
            <v>Рейн</v>
          </cell>
          <cell r="F61">
            <v>0.22339999999999999</v>
          </cell>
        </row>
        <row r="62">
          <cell r="E62" t="str">
            <v>Рио</v>
          </cell>
          <cell r="F62">
            <v>0.2185</v>
          </cell>
        </row>
        <row r="63">
          <cell r="E63" t="str">
            <v>Рококо</v>
          </cell>
          <cell r="F63">
            <v>0.29699999999999999</v>
          </cell>
        </row>
        <row r="64">
          <cell r="B64" t="b">
            <v>1</v>
          </cell>
          <cell r="C64">
            <v>1</v>
          </cell>
          <cell r="E64" t="str">
            <v>Саванна</v>
          </cell>
          <cell r="F64">
            <v>0.29699999999999999</v>
          </cell>
        </row>
        <row r="65">
          <cell r="B65">
            <v>0</v>
          </cell>
          <cell r="C65">
            <v>0</v>
          </cell>
          <cell r="E65" t="str">
            <v>Сеул</v>
          </cell>
          <cell r="F65">
            <v>0.1837</v>
          </cell>
        </row>
        <row r="66">
          <cell r="B66">
            <v>0</v>
          </cell>
          <cell r="C66">
            <v>0</v>
          </cell>
          <cell r="E66" t="str">
            <v>Сиде</v>
          </cell>
          <cell r="F66">
            <v>0.24349999999999999</v>
          </cell>
        </row>
        <row r="67">
          <cell r="B67">
            <v>0</v>
          </cell>
          <cell r="C67">
            <v>0</v>
          </cell>
          <cell r="E67" t="str">
            <v>Сиде BLACKOUT</v>
          </cell>
          <cell r="F67">
            <v>0.54110000000000003</v>
          </cell>
        </row>
        <row r="68">
          <cell r="B68">
            <v>0</v>
          </cell>
          <cell r="C68">
            <v>0</v>
          </cell>
          <cell r="E68" t="str">
            <v>Сказка</v>
          </cell>
          <cell r="F68">
            <v>0.27150000000000002</v>
          </cell>
        </row>
        <row r="69">
          <cell r="B69">
            <v>0</v>
          </cell>
          <cell r="C69">
            <v>0</v>
          </cell>
          <cell r="E69" t="str">
            <v xml:space="preserve">Скрин </v>
          </cell>
          <cell r="F69">
            <v>0.99390000000000001</v>
          </cell>
        </row>
        <row r="70">
          <cell r="B70" t="b">
            <v>0</v>
          </cell>
          <cell r="C70">
            <v>0</v>
          </cell>
          <cell r="E70" t="str">
            <v>Скрин ll</v>
          </cell>
          <cell r="F70">
            <v>0.79530000000000001</v>
          </cell>
        </row>
        <row r="71">
          <cell r="E71" t="str">
            <v>Студио</v>
          </cell>
          <cell r="F71">
            <v>1.2987</v>
          </cell>
        </row>
        <row r="72">
          <cell r="E72" t="str">
            <v>Сутра</v>
          </cell>
          <cell r="F72">
            <v>1.2795000000000001</v>
          </cell>
        </row>
        <row r="73">
          <cell r="E73" t="str">
            <v>Сфера</v>
          </cell>
          <cell r="F73">
            <v>0.29699999999999999</v>
          </cell>
        </row>
        <row r="74">
          <cell r="E74" t="str">
            <v>Твист</v>
          </cell>
          <cell r="F74">
            <v>0.25629999999999997</v>
          </cell>
        </row>
        <row r="75">
          <cell r="E75" t="str">
            <v>Флора</v>
          </cell>
          <cell r="F75">
            <v>1.4559</v>
          </cell>
        </row>
        <row r="76">
          <cell r="E76" t="str">
            <v>Шелк</v>
          </cell>
          <cell r="F76">
            <v>0.4819</v>
          </cell>
        </row>
        <row r="77">
          <cell r="E77" t="str">
            <v>Путь самурая</v>
          </cell>
          <cell r="F77">
            <v>0.77900000000000003</v>
          </cell>
        </row>
        <row r="78">
          <cell r="E78" t="str">
            <v>Чайная церемония</v>
          </cell>
          <cell r="F78">
            <v>0.77900000000000003</v>
          </cell>
        </row>
        <row r="79">
          <cell r="E79" t="str">
            <v>Чио-Чио-Сан</v>
          </cell>
          <cell r="F79">
            <v>0.77900000000000003</v>
          </cell>
        </row>
        <row r="80">
          <cell r="E80" t="str">
            <v>Эдем</v>
          </cell>
          <cell r="F80">
            <v>0.27729999999999999</v>
          </cell>
        </row>
        <row r="81">
          <cell r="E81" t="str">
            <v>Эйлат</v>
          </cell>
          <cell r="F81">
            <v>0.2903</v>
          </cell>
        </row>
        <row r="82">
          <cell r="E82" t="str">
            <v>Юкка</v>
          </cell>
          <cell r="F82">
            <v>0.28249999999999997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кани Энерг"/>
      <sheetName val="Ткани Амиго"/>
      <sheetName val="Ткани Ростов"/>
      <sheetName val="Ткани Виндеко"/>
      <sheetName val="ПРАЙС ТКАНИ"/>
      <sheetName val="ПРАЙС  дилеры"/>
      <sheetName val="СМАРТ"/>
      <sheetName val="ВИНДЕКО"/>
      <sheetName val="UNI-MINI-ЗЕБРА MGII MG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G8">
            <v>11.927999999999999</v>
          </cell>
        </row>
        <row r="9">
          <cell r="G9">
            <v>12.564</v>
          </cell>
        </row>
        <row r="10">
          <cell r="G10">
            <v>15.6</v>
          </cell>
        </row>
        <row r="11">
          <cell r="G11">
            <v>21.635999999999999</v>
          </cell>
        </row>
        <row r="12">
          <cell r="G12">
            <v>29.723999999999997</v>
          </cell>
        </row>
        <row r="13">
          <cell r="G13">
            <v>36.024000000000001</v>
          </cell>
        </row>
        <row r="14">
          <cell r="G14">
            <v>39.624000000000002</v>
          </cell>
        </row>
        <row r="15">
          <cell r="G15">
            <v>43.704000000000001</v>
          </cell>
        </row>
        <row r="16">
          <cell r="G16">
            <v>50.111999999999995</v>
          </cell>
        </row>
        <row r="17">
          <cell r="G17">
            <v>57.635999999999996</v>
          </cell>
        </row>
        <row r="18">
          <cell r="G18">
            <v>66.72</v>
          </cell>
        </row>
        <row r="19">
          <cell r="G19">
            <v>75.635999999999996</v>
          </cell>
        </row>
        <row r="20">
          <cell r="G20">
            <v>81.036000000000001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pageSetUpPr fitToPage="1"/>
  </sheetPr>
  <dimension ref="B1:AB45"/>
  <sheetViews>
    <sheetView workbookViewId="0">
      <selection activeCell="S19" sqref="S19"/>
    </sheetView>
  </sheetViews>
  <sheetFormatPr defaultRowHeight="11.25"/>
  <cols>
    <col min="1" max="1" width="4.5" customWidth="1"/>
    <col min="2" max="2" width="21.33203125" customWidth="1"/>
    <col min="3" max="3" width="10.5" customWidth="1"/>
    <col min="15" max="15" width="11.1640625" customWidth="1"/>
    <col min="17" max="17" width="19.5" customWidth="1"/>
  </cols>
  <sheetData>
    <row r="1" spans="2:28" ht="12">
      <c r="P1" s="9" t="s">
        <v>26</v>
      </c>
      <c r="Q1" s="10"/>
      <c r="R1" s="10"/>
      <c r="S1" s="10"/>
      <c r="T1" s="10"/>
      <c r="U1" s="10"/>
    </row>
    <row r="2" spans="2:28" ht="12">
      <c r="P2" s="10" t="s">
        <v>27</v>
      </c>
      <c r="Q2" s="10"/>
      <c r="R2" s="10"/>
      <c r="S2" s="10"/>
      <c r="T2" s="10"/>
      <c r="U2" s="10"/>
    </row>
    <row r="3" spans="2:28" ht="12">
      <c r="P3" s="10" t="s">
        <v>28</v>
      </c>
      <c r="Q3" s="10"/>
      <c r="R3" s="10"/>
      <c r="S3" s="10"/>
      <c r="T3" s="10"/>
      <c r="U3" s="10"/>
    </row>
    <row r="4" spans="2:28" ht="12">
      <c r="P4" s="10" t="s">
        <v>29</v>
      </c>
      <c r="Q4" s="10"/>
      <c r="R4" s="10"/>
      <c r="S4" s="10"/>
      <c r="T4" s="10"/>
      <c r="U4" s="10"/>
    </row>
    <row r="5" spans="2:28" ht="25.9" customHeight="1">
      <c r="P5" s="157" t="s">
        <v>30</v>
      </c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</row>
    <row r="6" spans="2:28" ht="25.9" customHeight="1">
      <c r="D6" t="b">
        <v>0</v>
      </c>
      <c r="P6" s="157" t="s">
        <v>31</v>
      </c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</row>
    <row r="7" spans="2:28" ht="12">
      <c r="D7" t="b">
        <v>1</v>
      </c>
      <c r="P7" s="10" t="s">
        <v>32</v>
      </c>
      <c r="Q7" s="10"/>
      <c r="R7" s="10"/>
      <c r="S7" s="10"/>
      <c r="T7" s="10"/>
      <c r="U7" s="10"/>
    </row>
    <row r="8" spans="2:28" ht="12.75">
      <c r="Q8" s="89" t="s">
        <v>33</v>
      </c>
      <c r="R8" s="11" t="s">
        <v>34</v>
      </c>
      <c r="S8" s="12"/>
      <c r="T8" s="12"/>
      <c r="U8" s="12"/>
      <c r="V8" s="12"/>
      <c r="W8" s="11"/>
      <c r="X8" s="11"/>
      <c r="Y8" s="11"/>
      <c r="Z8" s="11"/>
      <c r="AA8" s="11"/>
      <c r="AB8" s="11"/>
    </row>
    <row r="11" spans="2:28" ht="17.25" customHeight="1">
      <c r="B11" s="2" t="s">
        <v>0</v>
      </c>
      <c r="C11" s="33">
        <v>68</v>
      </c>
      <c r="D11" t="s">
        <v>61</v>
      </c>
      <c r="G11" s="34" t="s">
        <v>62</v>
      </c>
      <c r="H11" s="35">
        <v>1.8</v>
      </c>
      <c r="I11" t="s">
        <v>61</v>
      </c>
      <c r="P11" s="43" t="s">
        <v>68</v>
      </c>
    </row>
    <row r="12" spans="2:28" ht="13.5" thickBot="1">
      <c r="P12" s="43" t="s">
        <v>69</v>
      </c>
    </row>
    <row r="13" spans="2:28" ht="15" thickBot="1">
      <c r="B13" s="2" t="s">
        <v>10</v>
      </c>
      <c r="P13" s="197" t="s">
        <v>35</v>
      </c>
      <c r="Q13" s="208"/>
      <c r="R13" s="200"/>
      <c r="S13" s="13" t="s">
        <v>36</v>
      </c>
      <c r="T13" s="14"/>
      <c r="U13" s="15"/>
    </row>
    <row r="14" spans="2:28" s="1" customFormat="1" ht="21" customHeight="1">
      <c r="B14" s="88" t="s">
        <v>11</v>
      </c>
      <c r="C14" s="215" t="s">
        <v>12</v>
      </c>
      <c r="D14" s="215"/>
      <c r="E14" s="215"/>
      <c r="F14" s="215"/>
      <c r="G14" s="215"/>
      <c r="H14" s="215"/>
      <c r="I14" s="215"/>
      <c r="J14" s="215"/>
      <c r="K14" s="215" t="s">
        <v>13</v>
      </c>
      <c r="L14" s="215"/>
      <c r="M14" s="215" t="s">
        <v>14</v>
      </c>
      <c r="N14" s="215"/>
      <c r="P14" s="209" t="s">
        <v>37</v>
      </c>
      <c r="Q14" s="210"/>
      <c r="R14" s="211"/>
      <c r="S14" s="29">
        <v>0.95</v>
      </c>
      <c r="T14" s="193" t="s">
        <v>38</v>
      </c>
      <c r="U14" s="194"/>
      <c r="V14" s="212" t="s">
        <v>39</v>
      </c>
      <c r="W14" s="213"/>
      <c r="X14" s="213"/>
      <c r="Y14" s="213"/>
      <c r="Z14" s="213"/>
      <c r="AA14" s="213"/>
      <c r="AB14" s="213"/>
    </row>
    <row r="15" spans="2:28" ht="22.5" customHeight="1">
      <c r="B15" s="88" t="s">
        <v>15</v>
      </c>
      <c r="C15" s="206" t="s">
        <v>16</v>
      </c>
      <c r="D15" s="206"/>
      <c r="E15" s="206"/>
      <c r="F15" s="206"/>
      <c r="G15" s="206"/>
      <c r="H15" s="206"/>
      <c r="I15" s="206"/>
      <c r="J15" s="206"/>
      <c r="K15" s="207">
        <v>4.16</v>
      </c>
      <c r="L15" s="207"/>
      <c r="M15" s="207">
        <f>K15*$H$11</f>
        <v>7.4880000000000004</v>
      </c>
      <c r="N15" s="207"/>
      <c r="P15" s="185" t="s">
        <v>40</v>
      </c>
      <c r="Q15" s="186"/>
      <c r="R15" s="214"/>
      <c r="S15" s="30">
        <v>2.2999999999999998</v>
      </c>
      <c r="T15" s="193" t="s">
        <v>38</v>
      </c>
      <c r="U15" s="194"/>
    </row>
    <row r="16" spans="2:28" ht="22.5" customHeight="1">
      <c r="B16" s="88" t="s">
        <v>17</v>
      </c>
      <c r="C16" s="206" t="s">
        <v>18</v>
      </c>
      <c r="D16" s="206"/>
      <c r="E16" s="206"/>
      <c r="F16" s="206"/>
      <c r="G16" s="206"/>
      <c r="H16" s="206"/>
      <c r="I16" s="206"/>
      <c r="J16" s="206"/>
      <c r="K16" s="207">
        <v>6.12</v>
      </c>
      <c r="L16" s="207"/>
      <c r="M16" s="207">
        <f t="shared" ref="M16:M20" si="0">K16*$H$11</f>
        <v>11.016</v>
      </c>
      <c r="N16" s="207"/>
      <c r="P16" s="201" t="s">
        <v>41</v>
      </c>
      <c r="Q16" s="202"/>
      <c r="R16" s="203"/>
      <c r="S16" s="16">
        <f>S14*S15</f>
        <v>2.1849999999999996</v>
      </c>
      <c r="T16" s="204" t="s">
        <v>42</v>
      </c>
      <c r="U16" s="205"/>
    </row>
    <row r="17" spans="2:22" ht="38.25" customHeight="1">
      <c r="B17" s="88" t="s">
        <v>19</v>
      </c>
      <c r="C17" s="206" t="s">
        <v>20</v>
      </c>
      <c r="D17" s="206"/>
      <c r="E17" s="206"/>
      <c r="F17" s="206"/>
      <c r="G17" s="206"/>
      <c r="H17" s="206"/>
      <c r="I17" s="206"/>
      <c r="J17" s="206"/>
      <c r="K17" s="207">
        <v>9.09</v>
      </c>
      <c r="L17" s="207"/>
      <c r="M17" s="207">
        <f t="shared" si="0"/>
        <v>16.362000000000002</v>
      </c>
      <c r="N17" s="207"/>
      <c r="P17" s="180" t="s">
        <v>11</v>
      </c>
      <c r="Q17" s="181"/>
      <c r="R17" s="182"/>
      <c r="S17" s="30">
        <v>1</v>
      </c>
      <c r="T17" s="183" t="s">
        <v>43</v>
      </c>
      <c r="U17" s="184"/>
    </row>
    <row r="18" spans="2:22" ht="39.75" customHeight="1">
      <c r="B18" s="88" t="s">
        <v>21</v>
      </c>
      <c r="C18" s="206" t="s">
        <v>22</v>
      </c>
      <c r="D18" s="206"/>
      <c r="E18" s="206"/>
      <c r="F18" s="206"/>
      <c r="G18" s="206"/>
      <c r="H18" s="206"/>
      <c r="I18" s="206"/>
      <c r="J18" s="206"/>
      <c r="K18" s="207">
        <v>14.07</v>
      </c>
      <c r="L18" s="207"/>
      <c r="M18" s="207">
        <f t="shared" si="0"/>
        <v>25.326000000000001</v>
      </c>
      <c r="N18" s="207"/>
      <c r="P18" s="185" t="s">
        <v>63</v>
      </c>
      <c r="Q18" s="186"/>
      <c r="R18" s="32" t="b">
        <v>0</v>
      </c>
      <c r="S18" s="17">
        <f>VLOOKUP(R18,флажок,2,0)</f>
        <v>0</v>
      </c>
      <c r="T18" s="187" t="s">
        <v>44</v>
      </c>
      <c r="U18" s="188"/>
      <c r="V18" t="s">
        <v>64</v>
      </c>
    </row>
    <row r="19" spans="2:22" ht="26.25" customHeight="1">
      <c r="B19" s="88" t="s">
        <v>23</v>
      </c>
      <c r="C19" s="206" t="s">
        <v>24</v>
      </c>
      <c r="D19" s="206"/>
      <c r="E19" s="206"/>
      <c r="F19" s="206"/>
      <c r="G19" s="206"/>
      <c r="H19" s="206"/>
      <c r="I19" s="206"/>
      <c r="J19" s="206"/>
      <c r="K19" s="207">
        <v>17.579999999999998</v>
      </c>
      <c r="L19" s="207"/>
      <c r="M19" s="207">
        <f t="shared" si="0"/>
        <v>31.643999999999998</v>
      </c>
      <c r="N19" s="207"/>
      <c r="P19" s="185" t="s">
        <v>45</v>
      </c>
      <c r="Q19" s="186"/>
      <c r="R19" s="32" t="b">
        <v>1</v>
      </c>
      <c r="S19" s="18">
        <f>VLOOKUP(R19,флажок,2,0)</f>
        <v>1</v>
      </c>
      <c r="T19" s="189"/>
      <c r="U19" s="190"/>
    </row>
    <row r="20" spans="2:22" ht="22.5" customHeight="1">
      <c r="B20" s="88" t="s">
        <v>25</v>
      </c>
      <c r="C20" s="206" t="s">
        <v>193</v>
      </c>
      <c r="D20" s="206"/>
      <c r="E20" s="206"/>
      <c r="F20" s="206"/>
      <c r="G20" s="206"/>
      <c r="H20" s="206"/>
      <c r="I20" s="206"/>
      <c r="J20" s="206"/>
      <c r="K20" s="207">
        <v>21.98</v>
      </c>
      <c r="L20" s="207"/>
      <c r="M20" s="207">
        <f t="shared" si="0"/>
        <v>39.564</v>
      </c>
      <c r="N20" s="207"/>
      <c r="P20" s="185" t="s">
        <v>46</v>
      </c>
      <c r="Q20" s="186"/>
      <c r="R20" s="32" t="b">
        <v>0</v>
      </c>
      <c r="S20" s="18">
        <f>VLOOKUP(R20,флажок,2,0)</f>
        <v>0</v>
      </c>
      <c r="T20" s="191"/>
      <c r="U20" s="192"/>
    </row>
    <row r="21" spans="2:22" ht="12" thickBot="1">
      <c r="P21" s="19" t="s">
        <v>47</v>
      </c>
      <c r="Q21" s="20"/>
      <c r="R21" s="21"/>
      <c r="S21" s="31">
        <v>1</v>
      </c>
      <c r="T21" s="193" t="s">
        <v>38</v>
      </c>
      <c r="U21" s="194"/>
    </row>
    <row r="22" spans="2:22" ht="12" thickBot="1">
      <c r="P22" s="22" t="s">
        <v>48</v>
      </c>
      <c r="Q22" s="22"/>
      <c r="R22" s="23"/>
      <c r="S22" s="24">
        <f>IF(S14&lt;1.5,2,IF(S14&lt;2.5,3,IF(S14&lt;3.5,4,IF(S14&lt;4.5,5,))))</f>
        <v>2</v>
      </c>
      <c r="T22" s="195" t="s">
        <v>42</v>
      </c>
      <c r="U22" s="196"/>
      <c r="V22" t="s">
        <v>49</v>
      </c>
    </row>
    <row r="23" spans="2:22" ht="13.5" thickBot="1">
      <c r="B23" s="2" t="s">
        <v>1</v>
      </c>
      <c r="P23" s="58" t="s">
        <v>82</v>
      </c>
      <c r="Q23" s="25"/>
      <c r="R23" s="25"/>
      <c r="S23" s="25"/>
      <c r="T23" s="25"/>
      <c r="U23" s="25"/>
    </row>
    <row r="24" spans="2:22" ht="15" customHeight="1" thickBot="1">
      <c r="B24" s="3" t="s">
        <v>2</v>
      </c>
      <c r="C24" s="4">
        <v>1</v>
      </c>
      <c r="D24" s="4">
        <v>1.2</v>
      </c>
      <c r="E24" s="4">
        <v>1.4</v>
      </c>
      <c r="F24" s="4">
        <v>1.6</v>
      </c>
      <c r="G24" s="4">
        <v>1.8</v>
      </c>
      <c r="H24" s="4">
        <v>2</v>
      </c>
      <c r="I24" s="4">
        <v>2.2000000000000002</v>
      </c>
      <c r="J24" s="4">
        <v>2.4</v>
      </c>
      <c r="K24" s="4">
        <v>2.6</v>
      </c>
      <c r="L24" s="4">
        <v>2.8</v>
      </c>
      <c r="M24" s="4">
        <v>3</v>
      </c>
      <c r="N24" s="4">
        <v>3.5</v>
      </c>
      <c r="P24" s="197"/>
      <c r="Q24" s="198"/>
      <c r="R24" s="199" t="s">
        <v>3</v>
      </c>
      <c r="S24" s="198"/>
      <c r="T24" s="199" t="s">
        <v>4</v>
      </c>
      <c r="U24" s="200"/>
    </row>
    <row r="25" spans="2:22" ht="17.25" customHeight="1">
      <c r="B25" s="5" t="s">
        <v>3</v>
      </c>
      <c r="C25" s="6">
        <v>9.3000000000000007</v>
      </c>
      <c r="D25" s="6">
        <v>10.1</v>
      </c>
      <c r="E25" s="6">
        <v>11.4</v>
      </c>
      <c r="F25" s="6">
        <v>12.2</v>
      </c>
      <c r="G25" s="6">
        <v>13</v>
      </c>
      <c r="H25" s="6">
        <v>14.4</v>
      </c>
      <c r="I25" s="6">
        <v>15.1</v>
      </c>
      <c r="J25" s="6">
        <v>16</v>
      </c>
      <c r="K25" s="6">
        <v>17.3</v>
      </c>
      <c r="L25" s="6">
        <v>18.100000000000001</v>
      </c>
      <c r="M25" s="6">
        <v>18.899999999999999</v>
      </c>
      <c r="N25" s="6">
        <v>21.7</v>
      </c>
      <c r="P25" s="177" t="s">
        <v>50</v>
      </c>
      <c r="Q25" s="178"/>
      <c r="R25" s="173">
        <f>IF(S14&lt;1.01,C25,IF(S14&lt;1.21,D25,IF(S14&lt;1.41,E25,IF(S14&lt;1.61,F25,IF(S14&lt;1.81,G25,IF(S14&lt;2.01,H25,IF(S14&lt;2.21,I25,IF(S14&lt;2.41,J25,IF(S14&lt;2.61,K25,IF(S14&lt;2.81,L25,IF(S14&lt;3.01,M25,IF(S14&lt;3.51,N25,ошибка))))))))))))</f>
        <v>9.3000000000000007</v>
      </c>
      <c r="S25" s="179"/>
      <c r="T25" s="173">
        <f>R25*$H$11</f>
        <v>16.740000000000002</v>
      </c>
      <c r="U25" s="174"/>
    </row>
    <row r="26" spans="2:22" ht="17.25" customHeight="1">
      <c r="B26" s="5" t="s">
        <v>4</v>
      </c>
      <c r="C26" s="6">
        <f>C25*$H$11</f>
        <v>16.740000000000002</v>
      </c>
      <c r="D26" s="6">
        <f t="shared" ref="D26:N26" si="1">D25*$H$11</f>
        <v>18.18</v>
      </c>
      <c r="E26" s="6">
        <f t="shared" si="1"/>
        <v>20.52</v>
      </c>
      <c r="F26" s="6">
        <f t="shared" si="1"/>
        <v>21.96</v>
      </c>
      <c r="G26" s="6">
        <f t="shared" si="1"/>
        <v>23.400000000000002</v>
      </c>
      <c r="H26" s="6">
        <f t="shared" si="1"/>
        <v>25.92</v>
      </c>
      <c r="I26" s="6">
        <f t="shared" si="1"/>
        <v>27.18</v>
      </c>
      <c r="J26" s="6">
        <f t="shared" si="1"/>
        <v>28.8</v>
      </c>
      <c r="K26" s="6">
        <f t="shared" si="1"/>
        <v>31.14</v>
      </c>
      <c r="L26" s="6">
        <f t="shared" si="1"/>
        <v>32.580000000000005</v>
      </c>
      <c r="M26" s="6">
        <f t="shared" si="1"/>
        <v>34.019999999999996</v>
      </c>
      <c r="N26" s="6">
        <f t="shared" si="1"/>
        <v>39.06</v>
      </c>
      <c r="P26" s="169" t="s">
        <v>51</v>
      </c>
      <c r="Q26" s="170"/>
      <c r="R26" s="171">
        <f>IF(S17=1,S16*K15,IF(S17=2,S16*K16,IF(S17=3,S16*K17,IF(S17=4,S16*K18,IF(S17=5,S16*K19,IF(S17=6,S16*K20,0))))))</f>
        <v>9.089599999999999</v>
      </c>
      <c r="S26" s="172"/>
      <c r="T26" s="173">
        <f>R26*$H$11</f>
        <v>16.361279999999997</v>
      </c>
      <c r="U26" s="174"/>
    </row>
    <row r="27" spans="2:22" ht="12" customHeight="1">
      <c r="P27" s="169" t="s">
        <v>6</v>
      </c>
      <c r="Q27" s="170"/>
      <c r="R27" s="175">
        <f>IF(S18=1,1,0)*IF(S14&lt;1.01,C30,IF(S14&lt;1.21,D30,IF(S14&lt;1.41,E30,IF(S14&lt;1.61,F30,IF(S14&lt;1.81,G30,IF(S14&lt;2.01,H30,IF(S14&lt;2.01,I30,IF(S14&lt;2.41,J30,IF(S14&lt;2.61,K30,IF(S14&lt;2.81,L30,IF(S14&lt;3.01,M30,IF(S14&lt;3.51,N30,0))))))))))))</f>
        <v>0</v>
      </c>
      <c r="S27" s="176"/>
      <c r="T27" s="173">
        <f t="shared" ref="T27:T29" si="2">R27*$H$11</f>
        <v>0</v>
      </c>
      <c r="U27" s="174"/>
    </row>
    <row r="28" spans="2:22" ht="15.6" customHeight="1">
      <c r="B28" s="2" t="s">
        <v>5</v>
      </c>
      <c r="P28" s="169" t="s">
        <v>52</v>
      </c>
      <c r="Q28" s="170"/>
      <c r="R28" s="171">
        <f>IF(S19=1,1,0)*IF(S14&lt;1.01,C31,IF(S14&lt;1.21,D31,IF(S14&lt;1.41,E31,IF(S14&lt;1.61,F31,IF(S14&lt;1.81,G31,IF(S14&lt;2.01,H31,IF(S14&lt;2.01,I31,IF(S14&lt;2.41,J31,IF(S14&lt;2.61,K31,IF(S14&lt;2.81,L31,IF(S14&lt;3.01,M31,IF(S14&lt;3.51,N31,0))))))))))))</f>
        <v>0.62604000000000004</v>
      </c>
      <c r="S28" s="172"/>
      <c r="T28" s="173">
        <f t="shared" si="2"/>
        <v>1.1268720000000001</v>
      </c>
      <c r="U28" s="174"/>
    </row>
    <row r="29" spans="2:22" ht="16.149999999999999" customHeight="1">
      <c r="B29" s="3" t="s">
        <v>2</v>
      </c>
      <c r="C29" s="4">
        <v>1</v>
      </c>
      <c r="D29" s="4">
        <v>1.2</v>
      </c>
      <c r="E29" s="4">
        <v>1.4</v>
      </c>
      <c r="F29" s="4">
        <v>1.6</v>
      </c>
      <c r="G29" s="4">
        <v>1.8</v>
      </c>
      <c r="H29" s="4">
        <v>2</v>
      </c>
      <c r="I29" s="4">
        <v>2.2000000000000002</v>
      </c>
      <c r="J29" s="4">
        <v>2.4</v>
      </c>
      <c r="K29" s="4">
        <v>2.6</v>
      </c>
      <c r="L29" s="4">
        <v>2.8</v>
      </c>
      <c r="M29" s="4">
        <v>3</v>
      </c>
      <c r="N29" s="4">
        <v>3.5</v>
      </c>
      <c r="P29" s="169" t="s">
        <v>53</v>
      </c>
      <c r="Q29" s="170"/>
      <c r="R29" s="171">
        <f>IF(S20=1,1,0)*IF(S14&lt;1.01,C32,IF(S14&lt;1.21,D32,IF(S14&lt;1.41,E32,IF(S14&lt;1.61,F32,IF(S14&lt;1.81,G32,IF(S14&lt;2.01,H32,IF(S14&lt;2.01,I32,IF(S14&lt;2.41,J32,IF(S14&lt;2.61,K32,IF(S14&lt;2.81,L32,IF(S14&lt;3.01,M32,IF(S14&lt;3.51,N32,0))))))))))))</f>
        <v>0</v>
      </c>
      <c r="S29" s="172"/>
      <c r="T29" s="173">
        <f t="shared" si="2"/>
        <v>0</v>
      </c>
      <c r="U29" s="174"/>
    </row>
    <row r="30" spans="2:22" ht="20.45" customHeight="1" thickBot="1">
      <c r="B30" s="5" t="s">
        <v>6</v>
      </c>
      <c r="C30" s="7">
        <v>0.95327999999999991</v>
      </c>
      <c r="D30" s="7">
        <v>1.4299200000000001</v>
      </c>
      <c r="E30" s="7">
        <v>1.4299200000000001</v>
      </c>
      <c r="F30" s="7">
        <v>1.4299200000000001</v>
      </c>
      <c r="G30" s="7">
        <v>1.9065599999999998</v>
      </c>
      <c r="H30" s="7">
        <v>1.9065599999999998</v>
      </c>
      <c r="I30" s="7">
        <v>1.9065599999999998</v>
      </c>
      <c r="J30" s="7">
        <v>2.3832</v>
      </c>
      <c r="K30" s="7">
        <v>2.3832</v>
      </c>
      <c r="L30" s="7">
        <v>2.3832</v>
      </c>
      <c r="M30" s="7">
        <v>2.8598400000000002</v>
      </c>
      <c r="N30" s="7">
        <v>3.3364799999999999</v>
      </c>
      <c r="P30" s="159" t="s">
        <v>54</v>
      </c>
      <c r="Q30" s="160"/>
      <c r="R30" s="161">
        <f>SUM(R25:S29)*S21</f>
        <v>19.015640000000001</v>
      </c>
      <c r="S30" s="162"/>
      <c r="T30" s="161">
        <f>SUM(T25:U29)*S21</f>
        <v>34.228152000000001</v>
      </c>
      <c r="U30" s="163"/>
    </row>
    <row r="31" spans="2:22" ht="19.149999999999999" customHeight="1" thickBot="1">
      <c r="B31" s="5" t="s">
        <v>7</v>
      </c>
      <c r="C31" s="7">
        <v>0.62604000000000004</v>
      </c>
      <c r="D31" s="7">
        <v>0.62604000000000004</v>
      </c>
      <c r="E31" s="7">
        <v>0.62604000000000004</v>
      </c>
      <c r="F31" s="7">
        <v>0.93906000000000012</v>
      </c>
      <c r="G31" s="7">
        <v>0.93906000000000012</v>
      </c>
      <c r="H31" s="7">
        <v>0.93906000000000012</v>
      </c>
      <c r="I31" s="7">
        <v>0.93906000000000012</v>
      </c>
      <c r="J31" s="7">
        <v>0.93906000000000012</v>
      </c>
      <c r="K31" s="7">
        <v>1.2520800000000001</v>
      </c>
      <c r="L31" s="7">
        <v>1.2520800000000001</v>
      </c>
      <c r="M31" s="7">
        <v>1.2520800000000001</v>
      </c>
      <c r="N31" s="7">
        <v>1.5650999999999999</v>
      </c>
      <c r="P31" s="164" t="s">
        <v>55</v>
      </c>
      <c r="Q31" s="165"/>
      <c r="R31" s="166">
        <f>R30*$C$11</f>
        <v>1293.0635200000002</v>
      </c>
      <c r="S31" s="167"/>
      <c r="T31" s="166">
        <f>T30*$C$11</f>
        <v>2327.5143360000002</v>
      </c>
      <c r="U31" s="168"/>
    </row>
    <row r="32" spans="2:22" ht="15.75" customHeight="1">
      <c r="B32" s="8" t="s">
        <v>8</v>
      </c>
      <c r="C32" s="7">
        <v>1.4238</v>
      </c>
      <c r="D32" s="7">
        <v>1.4238</v>
      </c>
      <c r="E32" s="7">
        <v>1.4238</v>
      </c>
      <c r="F32" s="7">
        <v>2.1356999999999999</v>
      </c>
      <c r="G32" s="7">
        <v>2.1356999999999999</v>
      </c>
      <c r="H32" s="7">
        <v>2.1356999999999999</v>
      </c>
      <c r="I32" s="7">
        <v>2.1356999999999999</v>
      </c>
      <c r="J32" s="7">
        <v>2.1356999999999999</v>
      </c>
      <c r="K32" s="7">
        <v>2.8475999999999999</v>
      </c>
      <c r="L32" s="7">
        <v>2.8475999999999999</v>
      </c>
      <c r="M32" s="7">
        <v>2.8475999999999999</v>
      </c>
      <c r="N32" s="7">
        <v>3.5594999999999999</v>
      </c>
    </row>
    <row r="33" spans="2:14" ht="10.15" customHeight="1"/>
    <row r="34" spans="2:14" ht="12.75">
      <c r="B34" s="2" t="s">
        <v>9</v>
      </c>
    </row>
    <row r="35" spans="2:14" ht="12">
      <c r="B35" s="3" t="s">
        <v>2</v>
      </c>
      <c r="C35" s="4">
        <v>1</v>
      </c>
      <c r="D35" s="4">
        <v>1.2</v>
      </c>
      <c r="E35" s="4">
        <v>1.4</v>
      </c>
      <c r="F35" s="4">
        <v>1.6</v>
      </c>
      <c r="G35" s="4">
        <v>1.8</v>
      </c>
      <c r="H35" s="4">
        <v>2</v>
      </c>
      <c r="I35" s="4">
        <v>2.2000000000000002</v>
      </c>
      <c r="J35" s="4">
        <v>2.4</v>
      </c>
      <c r="K35" s="4">
        <v>2.6</v>
      </c>
      <c r="L35" s="4">
        <v>2.8</v>
      </c>
      <c r="M35" s="4">
        <v>3</v>
      </c>
      <c r="N35" s="4">
        <v>3.5</v>
      </c>
    </row>
    <row r="36" spans="2:14" ht="15.75" customHeight="1">
      <c r="B36" s="5" t="s">
        <v>6</v>
      </c>
      <c r="C36" s="7">
        <f>C30*$H$11</f>
        <v>1.7159039999999999</v>
      </c>
      <c r="D36" s="7">
        <f t="shared" ref="D36:N36" si="3">D30*$H$11</f>
        <v>2.5738560000000001</v>
      </c>
      <c r="E36" s="7">
        <f t="shared" si="3"/>
        <v>2.5738560000000001</v>
      </c>
      <c r="F36" s="7">
        <f t="shared" si="3"/>
        <v>2.5738560000000001</v>
      </c>
      <c r="G36" s="7">
        <f t="shared" si="3"/>
        <v>3.4318079999999997</v>
      </c>
      <c r="H36" s="7">
        <f t="shared" si="3"/>
        <v>3.4318079999999997</v>
      </c>
      <c r="I36" s="7">
        <f t="shared" si="3"/>
        <v>3.4318079999999997</v>
      </c>
      <c r="J36" s="7">
        <f t="shared" si="3"/>
        <v>4.2897600000000002</v>
      </c>
      <c r="K36" s="7">
        <f t="shared" si="3"/>
        <v>4.2897600000000002</v>
      </c>
      <c r="L36" s="7">
        <f t="shared" si="3"/>
        <v>4.2897600000000002</v>
      </c>
      <c r="M36" s="7">
        <f t="shared" si="3"/>
        <v>5.1477120000000003</v>
      </c>
      <c r="N36" s="7">
        <f t="shared" si="3"/>
        <v>6.0056640000000003</v>
      </c>
    </row>
    <row r="37" spans="2:14" ht="15.75" customHeight="1">
      <c r="B37" s="5" t="s">
        <v>7</v>
      </c>
      <c r="C37" s="7">
        <f t="shared" ref="C37:N37" si="4">C31*$H$11</f>
        <v>1.1268720000000001</v>
      </c>
      <c r="D37" s="7">
        <f t="shared" si="4"/>
        <v>1.1268720000000001</v>
      </c>
      <c r="E37" s="7">
        <f t="shared" si="4"/>
        <v>1.1268720000000001</v>
      </c>
      <c r="F37" s="7">
        <f t="shared" si="4"/>
        <v>1.6903080000000001</v>
      </c>
      <c r="G37" s="7">
        <f t="shared" si="4"/>
        <v>1.6903080000000001</v>
      </c>
      <c r="H37" s="7">
        <f t="shared" si="4"/>
        <v>1.6903080000000001</v>
      </c>
      <c r="I37" s="7">
        <f t="shared" si="4"/>
        <v>1.6903080000000001</v>
      </c>
      <c r="J37" s="7">
        <f t="shared" si="4"/>
        <v>1.6903080000000001</v>
      </c>
      <c r="K37" s="7">
        <f t="shared" si="4"/>
        <v>2.2537440000000002</v>
      </c>
      <c r="L37" s="7">
        <f t="shared" si="4"/>
        <v>2.2537440000000002</v>
      </c>
      <c r="M37" s="7">
        <f t="shared" si="4"/>
        <v>2.2537440000000002</v>
      </c>
      <c r="N37" s="7">
        <f t="shared" si="4"/>
        <v>2.81718</v>
      </c>
    </row>
    <row r="38" spans="2:14" ht="15.75" customHeight="1">
      <c r="B38" s="8" t="s">
        <v>8</v>
      </c>
      <c r="C38" s="7">
        <f t="shared" ref="C38:N38" si="5">C32*$H$11</f>
        <v>2.56284</v>
      </c>
      <c r="D38" s="7">
        <f t="shared" si="5"/>
        <v>2.56284</v>
      </c>
      <c r="E38" s="7">
        <f t="shared" si="5"/>
        <v>2.56284</v>
      </c>
      <c r="F38" s="7">
        <f t="shared" si="5"/>
        <v>3.8442599999999998</v>
      </c>
      <c r="G38" s="7">
        <f t="shared" si="5"/>
        <v>3.8442599999999998</v>
      </c>
      <c r="H38" s="7">
        <f t="shared" si="5"/>
        <v>3.8442599999999998</v>
      </c>
      <c r="I38" s="7">
        <f t="shared" si="5"/>
        <v>3.8442599999999998</v>
      </c>
      <c r="J38" s="7">
        <f t="shared" si="5"/>
        <v>3.8442599999999998</v>
      </c>
      <c r="K38" s="7">
        <f t="shared" si="5"/>
        <v>5.12568</v>
      </c>
      <c r="L38" s="7">
        <f t="shared" si="5"/>
        <v>5.12568</v>
      </c>
      <c r="M38" s="7">
        <f t="shared" si="5"/>
        <v>5.12568</v>
      </c>
      <c r="N38" s="7">
        <f t="shared" si="5"/>
        <v>6.4070999999999998</v>
      </c>
    </row>
    <row r="39" spans="2:14" ht="15.75" customHeight="1"/>
    <row r="40" spans="2:14" ht="23.25">
      <c r="B40" s="26" t="s">
        <v>56</v>
      </c>
      <c r="C40" s="26"/>
      <c r="D40" s="26"/>
      <c r="E40" s="27"/>
      <c r="F40" s="27"/>
    </row>
    <row r="41" spans="2:14">
      <c r="B41" s="25" t="s">
        <v>57</v>
      </c>
      <c r="C41" s="25"/>
      <c r="D41" s="25"/>
      <c r="E41" s="25"/>
      <c r="F41" s="25"/>
    </row>
    <row r="42" spans="2:14">
      <c r="B42" s="25" t="s">
        <v>58</v>
      </c>
      <c r="C42" s="25"/>
      <c r="D42" s="25"/>
      <c r="E42" s="25"/>
      <c r="F42" s="25"/>
    </row>
    <row r="43" spans="2:14" ht="15">
      <c r="B43" s="87" t="s">
        <v>120</v>
      </c>
      <c r="C43" s="25"/>
      <c r="D43" s="25"/>
      <c r="E43" s="25"/>
      <c r="F43" s="25"/>
    </row>
    <row r="44" spans="2:14" ht="15">
      <c r="B44" s="158" t="s">
        <v>59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</row>
    <row r="45" spans="2:14" ht="29.25" customHeight="1">
      <c r="B45" s="28" t="s">
        <v>60</v>
      </c>
      <c r="C45" s="28"/>
      <c r="D45" s="28"/>
      <c r="E45" s="28"/>
      <c r="F45" s="28"/>
    </row>
  </sheetData>
  <sheetProtection password="CFE4" sheet="1" objects="1" scenarios="1"/>
  <mergeCells count="64">
    <mergeCell ref="M17:N17"/>
    <mergeCell ref="C14:J14"/>
    <mergeCell ref="K14:L14"/>
    <mergeCell ref="M14:N14"/>
    <mergeCell ref="C15:J15"/>
    <mergeCell ref="K15:L15"/>
    <mergeCell ref="M15:N15"/>
    <mergeCell ref="P13:R13"/>
    <mergeCell ref="P14:R14"/>
    <mergeCell ref="T14:U14"/>
    <mergeCell ref="V14:AB14"/>
    <mergeCell ref="P15:R15"/>
    <mergeCell ref="T15:U15"/>
    <mergeCell ref="P16:R16"/>
    <mergeCell ref="T16:U16"/>
    <mergeCell ref="C20:J20"/>
    <mergeCell ref="K20:L20"/>
    <mergeCell ref="M20:N20"/>
    <mergeCell ref="C18:J18"/>
    <mergeCell ref="K18:L18"/>
    <mergeCell ref="M18:N18"/>
    <mergeCell ref="C19:J19"/>
    <mergeCell ref="K19:L19"/>
    <mergeCell ref="M19:N19"/>
    <mergeCell ref="C16:J16"/>
    <mergeCell ref="K16:L16"/>
    <mergeCell ref="M16:N16"/>
    <mergeCell ref="C17:J17"/>
    <mergeCell ref="K17:L17"/>
    <mergeCell ref="P25:Q25"/>
    <mergeCell ref="R25:S25"/>
    <mergeCell ref="T25:U25"/>
    <mergeCell ref="P17:R17"/>
    <mergeCell ref="T17:U17"/>
    <mergeCell ref="P18:Q18"/>
    <mergeCell ref="T18:U20"/>
    <mergeCell ref="P19:Q19"/>
    <mergeCell ref="P20:Q20"/>
    <mergeCell ref="T21:U21"/>
    <mergeCell ref="T22:U22"/>
    <mergeCell ref="P24:Q24"/>
    <mergeCell ref="R24:S24"/>
    <mergeCell ref="T24:U24"/>
    <mergeCell ref="R26:S26"/>
    <mergeCell ref="T26:U26"/>
    <mergeCell ref="P27:Q27"/>
    <mergeCell ref="R27:S27"/>
    <mergeCell ref="T27:U27"/>
    <mergeCell ref="P5:AB5"/>
    <mergeCell ref="P6:AB6"/>
    <mergeCell ref="B44:N44"/>
    <mergeCell ref="P30:Q30"/>
    <mergeCell ref="R30:S30"/>
    <mergeCell ref="T30:U30"/>
    <mergeCell ref="P31:Q31"/>
    <mergeCell ref="R31:S31"/>
    <mergeCell ref="T31:U31"/>
    <mergeCell ref="P28:Q28"/>
    <mergeCell ref="R28:S28"/>
    <mergeCell ref="T28:U28"/>
    <mergeCell ref="P29:Q29"/>
    <mergeCell ref="R29:S29"/>
    <mergeCell ref="T29:U29"/>
    <mergeCell ref="P26:Q26"/>
  </mergeCells>
  <pageMargins left="0.25" right="0.25" top="0.75" bottom="0.75" header="0.3" footer="0.3"/>
  <pageSetup paperSize="9" scale="63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161925</xdr:colOff>
                    <xdr:row>17</xdr:row>
                    <xdr:rowOff>295275</xdr:rowOff>
                  </from>
                  <to>
                    <xdr:col>19</xdr:col>
                    <xdr:colOff>95250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161925</xdr:colOff>
                    <xdr:row>18</xdr:row>
                    <xdr:rowOff>95250</xdr:rowOff>
                  </from>
                  <to>
                    <xdr:col>19</xdr:col>
                    <xdr:colOff>342900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161925</xdr:colOff>
                    <xdr:row>19</xdr:row>
                    <xdr:rowOff>85725</xdr:rowOff>
                  </from>
                  <to>
                    <xdr:col>19</xdr:col>
                    <xdr:colOff>342900</xdr:colOff>
                    <xdr:row>19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28"/>
  <sheetViews>
    <sheetView topLeftCell="A7" zoomScale="80" zoomScaleNormal="80" workbookViewId="0">
      <selection activeCell="Y26" sqref="Y26"/>
    </sheetView>
  </sheetViews>
  <sheetFormatPr defaultColWidth="9.1640625" defaultRowHeight="12.75"/>
  <cols>
    <col min="1" max="1" width="13.1640625" style="36" customWidth="1"/>
    <col min="2" max="2" width="14.1640625" style="36" customWidth="1"/>
    <col min="3" max="27" width="10" style="36" customWidth="1"/>
    <col min="28" max="29" width="9.6640625" style="36" customWidth="1"/>
    <col min="30" max="16384" width="9.1640625" style="36"/>
  </cols>
  <sheetData>
    <row r="1" spans="2:33">
      <c r="U1" s="37" t="s">
        <v>26</v>
      </c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</row>
    <row r="2" spans="2:33">
      <c r="U2" s="38" t="s">
        <v>121</v>
      </c>
      <c r="V2" s="38"/>
      <c r="W2" s="38"/>
      <c r="X2" s="38"/>
      <c r="Y2" s="38"/>
      <c r="Z2" s="38"/>
      <c r="AA2" s="39"/>
      <c r="AB2" s="39"/>
      <c r="AC2" s="39"/>
      <c r="AD2" s="39"/>
      <c r="AE2" s="39"/>
      <c r="AF2" s="39"/>
      <c r="AG2" s="39"/>
    </row>
    <row r="3" spans="2:33">
      <c r="U3" s="38" t="s">
        <v>122</v>
      </c>
      <c r="V3" s="38"/>
      <c r="W3" s="38"/>
      <c r="X3" s="38"/>
      <c r="Y3" s="38"/>
      <c r="Z3" s="38"/>
      <c r="AA3" s="39"/>
      <c r="AB3" s="39"/>
      <c r="AC3" s="39"/>
      <c r="AD3" s="39"/>
      <c r="AE3" s="39"/>
      <c r="AF3" s="39"/>
      <c r="AG3" s="39"/>
    </row>
    <row r="4" spans="2:33" ht="34.9" customHeight="1">
      <c r="U4" s="216" t="s">
        <v>123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</row>
    <row r="5" spans="2:33" ht="22.9" customHeight="1">
      <c r="U5" s="216" t="s">
        <v>124</v>
      </c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</row>
    <row r="6" spans="2:33">
      <c r="U6" s="38" t="s">
        <v>125</v>
      </c>
      <c r="V6" s="38"/>
      <c r="W6" s="38"/>
      <c r="X6" s="38"/>
      <c r="Y6" s="38"/>
      <c r="Z6" s="38"/>
      <c r="AA6" s="39"/>
      <c r="AB6" s="39"/>
      <c r="AC6" s="39"/>
      <c r="AD6" s="39"/>
      <c r="AE6" s="39"/>
      <c r="AF6" s="39"/>
      <c r="AG6" s="39"/>
    </row>
    <row r="7" spans="2:33">
      <c r="U7" s="40"/>
      <c r="V7" s="41" t="s">
        <v>33</v>
      </c>
      <c r="W7" s="40" t="s">
        <v>67</v>
      </c>
      <c r="X7" s="42"/>
      <c r="Y7" s="42"/>
      <c r="Z7" s="42"/>
      <c r="AA7" s="42"/>
      <c r="AB7" s="40"/>
      <c r="AC7" s="40"/>
      <c r="AD7" s="40"/>
      <c r="AE7" s="40"/>
      <c r="AF7" s="40"/>
      <c r="AG7" s="40"/>
    </row>
    <row r="8" spans="2:33" ht="13.5" thickBot="1"/>
    <row r="9" spans="2:33" ht="18.75" thickBot="1">
      <c r="B9" s="90" t="s">
        <v>0</v>
      </c>
      <c r="C9" s="81">
        <v>68</v>
      </c>
      <c r="D9" s="36" t="s">
        <v>38</v>
      </c>
      <c r="J9" s="91" t="s">
        <v>62</v>
      </c>
      <c r="K9" s="81">
        <v>1.8</v>
      </c>
      <c r="L9" s="36" t="s">
        <v>38</v>
      </c>
      <c r="U9" s="43" t="s">
        <v>68</v>
      </c>
    </row>
    <row r="10" spans="2:33">
      <c r="U10" s="43" t="s">
        <v>69</v>
      </c>
    </row>
    <row r="11" spans="2:33" ht="15.75" thickBot="1">
      <c r="B11" s="44" t="s">
        <v>126</v>
      </c>
      <c r="U11" s="45"/>
    </row>
    <row r="12" spans="2:33" ht="40.15" customHeight="1" thickBot="1">
      <c r="B12" s="46" t="s">
        <v>71</v>
      </c>
      <c r="C12" s="217" t="s">
        <v>127</v>
      </c>
      <c r="D12" s="217"/>
      <c r="E12" s="217"/>
      <c r="F12" s="217" t="s">
        <v>72</v>
      </c>
      <c r="G12" s="217"/>
      <c r="H12" s="217"/>
      <c r="I12" s="217"/>
      <c r="J12" s="217" t="s">
        <v>128</v>
      </c>
      <c r="K12" s="217"/>
      <c r="L12" s="217" t="s">
        <v>129</v>
      </c>
      <c r="M12" s="217"/>
      <c r="N12" s="217"/>
      <c r="O12" s="218"/>
      <c r="P12" s="219" t="s">
        <v>13</v>
      </c>
      <c r="Q12" s="220"/>
      <c r="R12" s="221" t="s">
        <v>14</v>
      </c>
      <c r="S12" s="220"/>
      <c r="U12" s="222" t="s">
        <v>35</v>
      </c>
      <c r="V12" s="223"/>
      <c r="W12" s="224"/>
      <c r="X12" s="47" t="s">
        <v>36</v>
      </c>
      <c r="Y12" s="48"/>
      <c r="Z12" s="49"/>
      <c r="AA12" s="39"/>
    </row>
    <row r="13" spans="2:33" ht="18" customHeight="1">
      <c r="B13" s="228">
        <v>1</v>
      </c>
      <c r="C13" s="229" t="s">
        <v>130</v>
      </c>
      <c r="D13" s="229"/>
      <c r="E13" s="229"/>
      <c r="F13" s="229" t="s">
        <v>131</v>
      </c>
      <c r="G13" s="229"/>
      <c r="H13" s="229"/>
      <c r="I13" s="229"/>
      <c r="J13" s="229"/>
      <c r="K13" s="229"/>
      <c r="L13" s="229" t="s">
        <v>132</v>
      </c>
      <c r="M13" s="229"/>
      <c r="N13" s="229"/>
      <c r="O13" s="230"/>
      <c r="P13" s="254">
        <v>11.927999999999999</v>
      </c>
      <c r="Q13" s="245"/>
      <c r="R13" s="244">
        <f>P13*$K$9</f>
        <v>21.470399999999998</v>
      </c>
      <c r="S13" s="245"/>
      <c r="U13" s="246" t="s">
        <v>37</v>
      </c>
      <c r="V13" s="247"/>
      <c r="W13" s="248"/>
      <c r="X13" s="92">
        <v>1.5</v>
      </c>
      <c r="Y13" s="249" t="s">
        <v>38</v>
      </c>
      <c r="Z13" s="250"/>
      <c r="AA13" s="50"/>
    </row>
    <row r="14" spans="2:33" ht="18" customHeight="1"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7"/>
      <c r="P14" s="231"/>
      <c r="Q14" s="232"/>
      <c r="R14" s="233"/>
      <c r="S14" s="232"/>
      <c r="U14" s="251" t="s">
        <v>40</v>
      </c>
      <c r="V14" s="252"/>
      <c r="W14" s="253"/>
      <c r="X14" s="93">
        <v>2.25</v>
      </c>
      <c r="Y14" s="249" t="s">
        <v>38</v>
      </c>
      <c r="Z14" s="250"/>
      <c r="AA14" s="50"/>
    </row>
    <row r="15" spans="2:33" ht="18.600000000000001" customHeight="1">
      <c r="B15" s="225">
        <v>2</v>
      </c>
      <c r="C15" s="226" t="s">
        <v>133</v>
      </c>
      <c r="D15" s="226"/>
      <c r="E15" s="226"/>
      <c r="F15" s="226" t="s">
        <v>134</v>
      </c>
      <c r="G15" s="226"/>
      <c r="H15" s="226"/>
      <c r="I15" s="226"/>
      <c r="J15" s="226" t="s">
        <v>135</v>
      </c>
      <c r="K15" s="226"/>
      <c r="L15" s="226" t="s">
        <v>136</v>
      </c>
      <c r="M15" s="226"/>
      <c r="N15" s="226"/>
      <c r="O15" s="227"/>
      <c r="P15" s="231">
        <v>12.564</v>
      </c>
      <c r="Q15" s="232"/>
      <c r="R15" s="233">
        <f t="shared" ref="R15:R26" si="0">P15*$K$9</f>
        <v>22.615200000000002</v>
      </c>
      <c r="S15" s="232"/>
      <c r="U15" s="234" t="s">
        <v>41</v>
      </c>
      <c r="V15" s="235"/>
      <c r="W15" s="236"/>
      <c r="X15" s="51">
        <f>X13*X14</f>
        <v>3.375</v>
      </c>
      <c r="Y15" s="237" t="s">
        <v>42</v>
      </c>
      <c r="Z15" s="238"/>
      <c r="AA15" s="39"/>
    </row>
    <row r="16" spans="2:33" ht="18.600000000000001" customHeight="1">
      <c r="B16" s="225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7"/>
      <c r="P16" s="231"/>
      <c r="Q16" s="232"/>
      <c r="R16" s="233"/>
      <c r="S16" s="232"/>
      <c r="U16" s="239" t="s">
        <v>11</v>
      </c>
      <c r="V16" s="240"/>
      <c r="W16" s="241"/>
      <c r="X16" s="93">
        <v>7</v>
      </c>
      <c r="Y16" s="242" t="s">
        <v>137</v>
      </c>
      <c r="Z16" s="243"/>
      <c r="AA16" s="39"/>
    </row>
    <row r="17" spans="2:35" ht="34.9" customHeight="1" thickBot="1">
      <c r="B17" s="225">
        <v>3</v>
      </c>
      <c r="C17" s="226" t="s">
        <v>138</v>
      </c>
      <c r="D17" s="226"/>
      <c r="E17" s="226"/>
      <c r="F17" s="226" t="s">
        <v>139</v>
      </c>
      <c r="G17" s="226"/>
      <c r="H17" s="226"/>
      <c r="I17" s="226"/>
      <c r="J17" s="226" t="s">
        <v>140</v>
      </c>
      <c r="K17" s="226"/>
      <c r="L17" s="226" t="s">
        <v>141</v>
      </c>
      <c r="M17" s="226"/>
      <c r="N17" s="226"/>
      <c r="O17" s="227"/>
      <c r="P17" s="231">
        <v>15.6</v>
      </c>
      <c r="Q17" s="232"/>
      <c r="R17" s="233">
        <f t="shared" si="0"/>
        <v>28.08</v>
      </c>
      <c r="S17" s="232"/>
      <c r="U17" s="52" t="s">
        <v>47</v>
      </c>
      <c r="V17" s="53"/>
      <c r="W17" s="54"/>
      <c r="X17" s="94">
        <v>1</v>
      </c>
      <c r="Y17" s="249" t="s">
        <v>38</v>
      </c>
      <c r="Z17" s="250"/>
      <c r="AA17" s="39"/>
    </row>
    <row r="18" spans="2:35" ht="23.45" customHeight="1" thickBot="1"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7"/>
      <c r="P18" s="231"/>
      <c r="Q18" s="232"/>
      <c r="R18" s="233"/>
      <c r="S18" s="232"/>
      <c r="U18" s="55" t="s">
        <v>48</v>
      </c>
      <c r="V18" s="55"/>
      <c r="W18" s="56"/>
      <c r="X18" s="57">
        <f>IF(X13&lt;1.5,2,IF(X13&lt;2.5,3,IF(X13&lt;3.5,4,IF(X13&lt;4.5,5,))))</f>
        <v>3</v>
      </c>
      <c r="Y18" s="255" t="s">
        <v>42</v>
      </c>
      <c r="Z18" s="256"/>
      <c r="AA18" s="39" t="s">
        <v>79</v>
      </c>
    </row>
    <row r="19" spans="2:35" ht="19.899999999999999" customHeight="1" thickBot="1">
      <c r="B19" s="225">
        <v>4</v>
      </c>
      <c r="C19" s="226" t="s">
        <v>142</v>
      </c>
      <c r="D19" s="226"/>
      <c r="E19" s="226"/>
      <c r="F19" s="226" t="s">
        <v>143</v>
      </c>
      <c r="G19" s="226"/>
      <c r="H19" s="226"/>
      <c r="I19" s="226"/>
      <c r="J19" s="226" t="s">
        <v>144</v>
      </c>
      <c r="K19" s="226"/>
      <c r="L19" s="226" t="s">
        <v>145</v>
      </c>
      <c r="M19" s="226"/>
      <c r="N19" s="226"/>
      <c r="O19" s="227"/>
      <c r="P19" s="231">
        <v>21.635999999999999</v>
      </c>
      <c r="Q19" s="232"/>
      <c r="R19" s="233">
        <f>P19*$K$9</f>
        <v>38.944800000000001</v>
      </c>
      <c r="S19" s="232"/>
      <c r="U19" s="58" t="s">
        <v>82</v>
      </c>
      <c r="V19" s="39"/>
      <c r="W19" s="39"/>
      <c r="X19" s="39"/>
      <c r="Y19" s="39"/>
      <c r="Z19" s="39"/>
      <c r="AA19" s="39"/>
    </row>
    <row r="20" spans="2:35" ht="19.899999999999999" customHeight="1"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7"/>
      <c r="P20" s="231"/>
      <c r="Q20" s="232"/>
      <c r="R20" s="233"/>
      <c r="S20" s="232"/>
      <c r="U20" s="257" t="s">
        <v>83</v>
      </c>
      <c r="V20" s="258"/>
      <c r="W20" s="259"/>
      <c r="X20" s="257" t="s">
        <v>3</v>
      </c>
      <c r="Y20" s="259"/>
      <c r="Z20" s="257" t="s">
        <v>4</v>
      </c>
      <c r="AA20" s="259"/>
      <c r="AC20" s="79" t="s">
        <v>84</v>
      </c>
      <c r="AD20" s="79" t="s">
        <v>85</v>
      </c>
      <c r="AE20" s="80" t="s">
        <v>146</v>
      </c>
      <c r="AF20" s="79"/>
      <c r="AG20" s="79"/>
      <c r="AH20" s="79"/>
      <c r="AI20" s="79"/>
    </row>
    <row r="21" spans="2:35" ht="19.899999999999999" customHeight="1" thickBot="1">
      <c r="B21" s="225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7"/>
      <c r="P21" s="231"/>
      <c r="Q21" s="232"/>
      <c r="R21" s="233"/>
      <c r="S21" s="232"/>
      <c r="U21" s="260"/>
      <c r="V21" s="261"/>
      <c r="W21" s="262"/>
      <c r="X21" s="95" t="s">
        <v>86</v>
      </c>
      <c r="Y21" s="96" t="s">
        <v>87</v>
      </c>
      <c r="Z21" s="95" t="s">
        <v>86</v>
      </c>
      <c r="AA21" s="96" t="s">
        <v>87</v>
      </c>
      <c r="AC21" s="79"/>
      <c r="AD21" s="79"/>
      <c r="AE21" s="79"/>
      <c r="AF21" s="79"/>
      <c r="AG21" s="79"/>
      <c r="AH21" s="79"/>
      <c r="AI21" s="79"/>
    </row>
    <row r="22" spans="2:35" ht="34.15" customHeight="1">
      <c r="B22" s="225">
        <v>5</v>
      </c>
      <c r="C22" s="226" t="s">
        <v>147</v>
      </c>
      <c r="D22" s="226"/>
      <c r="E22" s="226"/>
      <c r="F22" s="226" t="s">
        <v>194</v>
      </c>
      <c r="G22" s="226"/>
      <c r="H22" s="226"/>
      <c r="I22" s="226"/>
      <c r="J22" s="226" t="s">
        <v>148</v>
      </c>
      <c r="K22" s="226"/>
      <c r="L22" s="226" t="s">
        <v>149</v>
      </c>
      <c r="M22" s="226"/>
      <c r="N22" s="226"/>
      <c r="O22" s="227"/>
      <c r="P22" s="231">
        <v>29.723999999999997</v>
      </c>
      <c r="Q22" s="232"/>
      <c r="R22" s="233">
        <f t="shared" si="0"/>
        <v>53.503199999999993</v>
      </c>
      <c r="S22" s="232"/>
      <c r="U22" s="269" t="s">
        <v>150</v>
      </c>
      <c r="V22" s="270"/>
      <c r="W22" s="271"/>
      <c r="X22" s="103" t="e">
        <f>(AC22+AD22+AE22)*$X$17</f>
        <v>#NAME?</v>
      </c>
      <c r="Y22" s="104" t="e">
        <f>X22*$C$9</f>
        <v>#NAME?</v>
      </c>
      <c r="Z22" s="103" t="e">
        <f>X22*$K$9</f>
        <v>#NAME?</v>
      </c>
      <c r="AA22" s="104" t="e">
        <f>Y22*$K$9</f>
        <v>#NAME?</v>
      </c>
      <c r="AC22" s="79">
        <f>IF($X$16=1,P13*X13,IF($X$16=2,P15*X13,IF($X$16=3,P17*X13,IF($X$16=4,P19*X13,IF($X$16=5,P22*X13,IF($X$16=6,$P$24*X13,IF($X$16=7,X13*P26,IF($X$16=8,X13*P29,IF(X16=9,P31*X13,IF(X16=10,X13*P33,IF(X16=11,X13*P35,IF(X16=12,X13*P37,IF(X16=13,X13*P39,ошибка)))))))))))))</f>
        <v>59.436000000000007</v>
      </c>
      <c r="AD22" s="79">
        <f>IF(X13&lt;=0.4,C46,IF(X13&lt;=0.45,D46,IF(X13&lt;=0.5,E46,IF(X13&lt;=0.55,F46,IF(X13&lt;=0.6,G46,IF(X13&lt;=0.65,H46,IF(X13&lt;=0.7,I46,IF(X13&lt;=0.75,J46,IF(X13&lt;=0.8,K46,IF(X13&lt;=0.85,L46,IF(X13&lt;=0.9,M46,IF(X13&lt;=0.95,N46,IF(X13&lt;=1,O46,IF(X13&lt;=1.05,P46,IF(X13&lt;=1.1,Q46,IF(X13&lt;=1.15,R46,IF(X13&lt;=1.2,S46,IF(X13&lt;=1.25,T46,IF(X13&lt;=1.3,U46,IF(X13&lt;=1.35,V46,IF(X13&lt;=1.4,W46,IF(X13&lt;=1.45,X46,IF(X13&lt;=1.5,Y46,ошибка)))))))))))))))))))))))</f>
        <v>12.827999999999999</v>
      </c>
      <c r="AE22" s="79" t="e">
        <f>IF(X14&lt;1.81,0,ошибка)</f>
        <v>#NAME?</v>
      </c>
      <c r="AF22" s="79"/>
      <c r="AG22" s="79"/>
      <c r="AH22" s="79"/>
      <c r="AI22" s="79"/>
    </row>
    <row r="23" spans="2:35" ht="34.15" customHeight="1">
      <c r="B23" s="225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P23" s="231"/>
      <c r="Q23" s="232"/>
      <c r="R23" s="233"/>
      <c r="S23" s="232"/>
      <c r="U23" s="263" t="s">
        <v>151</v>
      </c>
      <c r="V23" s="264"/>
      <c r="W23" s="265"/>
      <c r="X23" s="105" t="e">
        <f>(AC23+AD23+AE23)*$X$17</f>
        <v>#NAME?</v>
      </c>
      <c r="Y23" s="106" t="e">
        <f t="shared" ref="Y23:Y24" si="1">X23*$C$9</f>
        <v>#NAME?</v>
      </c>
      <c r="Z23" s="103" t="e">
        <f t="shared" ref="Z23:Z27" si="2">X23*$K$9</f>
        <v>#NAME?</v>
      </c>
      <c r="AA23" s="106" t="e">
        <f t="shared" ref="AA23" si="3">Y23*$K$9</f>
        <v>#NAME?</v>
      </c>
      <c r="AC23" s="79">
        <f>AC22</f>
        <v>59.436000000000007</v>
      </c>
      <c r="AD23" s="79" t="e">
        <f>IF(X13&lt;=0.4,C51,IF(X13&lt;=0.45,D51,IF(X13&lt;=0.5,E51,IF(X13&lt;=0.55,F51,IF(X13&lt;=0.6,G51,IF(X13&lt;=0.65,H51,IF(X13&lt;=0.7,I51,IF(X13&lt;=0.75,J51,IF(X13&lt;=0.8,K51,IF(X13&lt;=0.85,L51,IF(X13&lt;=0.9,M51,IF(X13&lt;=0.95,N51,IF(X13&lt;=1,O51,IF(X13&lt;=1.05,P51,IF(X13&lt;=1.1,Q51,IF(X13&lt;=1.15,R51,IF(X13&lt;=1.2,S51,ошибка)))))))))))))))))</f>
        <v>#NAME?</v>
      </c>
      <c r="AE23" s="79" t="e">
        <f>IF(X14&lt;=1,0,IF(X14&lt;=1.1,AF23,IF(X14&lt;=1.2,AF23*2,IF(X14&lt;=1.3,AF23*3,IF(X14&lt;=1.4,AF23*4,IF(X14&lt;=1.5,AF23*5,IF(X14&lt;=1.6,AF23*6,IF(X14&lt;=1.7,AF23*7,IF(X14&lt;=1.8,AF23*8,ошибка)))))))))</f>
        <v>#NAME?</v>
      </c>
      <c r="AF23" s="102">
        <f>C67-C65</f>
        <v>0.28800000000000026</v>
      </c>
      <c r="AG23" s="79"/>
      <c r="AH23" s="79"/>
      <c r="AI23" s="79"/>
    </row>
    <row r="24" spans="2:35" ht="31.15" customHeight="1">
      <c r="B24" s="225">
        <v>6</v>
      </c>
      <c r="C24" s="226" t="s">
        <v>152</v>
      </c>
      <c r="D24" s="226"/>
      <c r="E24" s="226"/>
      <c r="F24" s="226" t="s">
        <v>153</v>
      </c>
      <c r="G24" s="226"/>
      <c r="H24" s="226"/>
      <c r="I24" s="226"/>
      <c r="J24" s="226" t="s">
        <v>195</v>
      </c>
      <c r="K24" s="226"/>
      <c r="L24" s="226" t="s">
        <v>154</v>
      </c>
      <c r="M24" s="226"/>
      <c r="N24" s="226"/>
      <c r="O24" s="227"/>
      <c r="P24" s="231">
        <v>36.024000000000001</v>
      </c>
      <c r="Q24" s="232"/>
      <c r="R24" s="233">
        <f t="shared" si="0"/>
        <v>64.84320000000001</v>
      </c>
      <c r="S24" s="232"/>
      <c r="U24" s="263" t="s">
        <v>155</v>
      </c>
      <c r="V24" s="264"/>
      <c r="W24" s="265"/>
      <c r="X24" s="105" t="e">
        <f>(AC24+AD24+AE24)*$X$17</f>
        <v>#NAME?</v>
      </c>
      <c r="Y24" s="106" t="e">
        <f t="shared" si="1"/>
        <v>#NAME?</v>
      </c>
      <c r="Z24" s="103" t="e">
        <f t="shared" si="2"/>
        <v>#NAME?</v>
      </c>
      <c r="AA24" s="106" t="e">
        <f>Y24*$K$9</f>
        <v>#NAME?</v>
      </c>
      <c r="AC24" s="79">
        <f>AC22</f>
        <v>59.436000000000007</v>
      </c>
      <c r="AD24" s="79" t="e">
        <f>IF(X13&lt;=0.4,C72,IF(X13&lt;=0.45,D72,IF(X13&lt;=0.5,E72,IF(X13&lt;=0.55,F72,IF(X13&lt;=0.6,G72,IF(X13&lt;=0.65,H72,IF(X13&lt;=0.7,I72,IF(X13&lt;=0.75,J72,IF(X13&lt;=0.8,K72,IF(X13&lt;=0.85,L72,IF(X13&lt;=0.9,M72,IF(X13&lt;=0.95,N72,IF(X13&lt;=1,O72,IF(X13&lt;=1.05,P72,IF(X13&lt;=1.1,Q72,IF(X13&lt;=1.15,R72,IF(X13&lt;=1.2,S72,ошибка)))))))))))))))))</f>
        <v>#NAME?</v>
      </c>
      <c r="AE24" s="79" t="e">
        <f>IF(X14&lt;=1,0,IF(X14&lt;=1.1,AF24,IF(X14&lt;=1.2,AF24*2,IF(X14&lt;=1.3,AF24*3,IF(X14&lt;=1.4,AF24*4,IF(X14&lt;=1.5,AF24*5,IF(X14&lt;=1.6,AF24*6,IF(X14&lt;=1.7,AF24*7,IF(X14&lt;=1.8,AF24*8,ошибка)))))))))</f>
        <v>#NAME?</v>
      </c>
      <c r="AF24" s="102">
        <f>C88-C86</f>
        <v>0.34799999999999898</v>
      </c>
      <c r="AG24" s="79"/>
      <c r="AH24" s="79"/>
      <c r="AI24" s="79"/>
    </row>
    <row r="25" spans="2:35" ht="33.6" customHeight="1" thickBot="1"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7"/>
      <c r="P25" s="231"/>
      <c r="Q25" s="232"/>
      <c r="R25" s="233"/>
      <c r="S25" s="232"/>
      <c r="U25" s="272" t="s">
        <v>156</v>
      </c>
      <c r="V25" s="273"/>
      <c r="W25" s="274"/>
      <c r="X25" s="107" t="e">
        <f>(AC25+AD25+AE25)*$X$17</f>
        <v>#NAME?</v>
      </c>
      <c r="Y25" s="108" t="e">
        <f>X25*$C$9</f>
        <v>#NAME?</v>
      </c>
      <c r="Z25" s="129" t="e">
        <f t="shared" si="2"/>
        <v>#NAME?</v>
      </c>
      <c r="AA25" s="112" t="e">
        <f t="shared" ref="AA25:AA28" si="4">Y25*$K$9</f>
        <v>#NAME?</v>
      </c>
      <c r="AC25" s="79">
        <f>AC22</f>
        <v>59.436000000000007</v>
      </c>
      <c r="AD25" s="79" t="e">
        <f>IF(X13&lt;=0.4,C93,IF(X13&lt;=0.45,D93,IF(X13&lt;=0.5,E93,IF(X13&lt;=0.55,F93,IF(X13&lt;=0.6,G93,IF(X13&lt;=0.65,H93,IF(X13&lt;=0.7,I93,IF(X13&lt;=0.75,J93,IF(X13&lt;=0.8,K93,IF(X13&lt;=0.85,L93,IF(X13&lt;=0.9,M93,ошибка)))))))))))</f>
        <v>#NAME?</v>
      </c>
      <c r="AE25" s="79" t="e">
        <f>IF(X14&lt;=1,0,IF(X14&lt;=1.1,AF25,IF(X14&lt;=1.2,AF25*2,IF(X14&lt;=1.3,AF25*3,IF(X14&lt;=1.4,AF25*4,ошибка)))))</f>
        <v>#NAME?</v>
      </c>
      <c r="AF25" s="102">
        <f>C101-C99</f>
        <v>0.60000000000000142</v>
      </c>
      <c r="AG25" s="79"/>
      <c r="AH25" s="79"/>
      <c r="AI25" s="79"/>
    </row>
    <row r="26" spans="2:35" ht="33" customHeight="1">
      <c r="B26" s="225">
        <v>7</v>
      </c>
      <c r="C26" s="226" t="s">
        <v>157</v>
      </c>
      <c r="D26" s="226"/>
      <c r="E26" s="226"/>
      <c r="F26" s="226" t="s">
        <v>158</v>
      </c>
      <c r="G26" s="226"/>
      <c r="H26" s="226"/>
      <c r="I26" s="226"/>
      <c r="J26" s="226" t="s">
        <v>159</v>
      </c>
      <c r="K26" s="226"/>
      <c r="L26" s="226" t="s">
        <v>160</v>
      </c>
      <c r="M26" s="226"/>
      <c r="N26" s="226"/>
      <c r="O26" s="227"/>
      <c r="P26" s="231">
        <v>39.624000000000002</v>
      </c>
      <c r="Q26" s="232"/>
      <c r="R26" s="233">
        <f t="shared" si="0"/>
        <v>71.3232</v>
      </c>
      <c r="S26" s="232"/>
      <c r="U26" s="275" t="s">
        <v>161</v>
      </c>
      <c r="V26" s="276"/>
      <c r="W26" s="277"/>
      <c r="X26" s="109">
        <f t="shared" ref="X26:X27" si="5">(AC26+AD26+AE26)*$X$17</f>
        <v>74.581000000000003</v>
      </c>
      <c r="Y26" s="110">
        <f t="shared" ref="Y26:Y28" si="6">X26*$C$9</f>
        <v>5071.5079999999998</v>
      </c>
      <c r="Z26" s="103">
        <f t="shared" si="2"/>
        <v>134.2458</v>
      </c>
      <c r="AA26" s="104">
        <f t="shared" si="4"/>
        <v>9128.7144000000008</v>
      </c>
      <c r="AC26" s="79">
        <f>AC22</f>
        <v>59.436000000000007</v>
      </c>
      <c r="AD26" s="79">
        <f>IF(X13&lt;=0.6,C108,IF(X13&lt;=0.7,D108,IF(X13&lt;=0.8,E108,IF(X13&lt;=0.9,F108,IF(X13&lt;=1,G108,IF(X13&lt;=1.1,H108,IF(X13&lt;=1.2,I108,IF(X13&lt;=1.3,J108,IF(X13&lt;=1.4,K108,IF(X13&lt;=1.5,L108,IF(X13&lt;=1.6,M108,IF(X13&lt;=1.7,N108,IF(X13&lt;=1.8,O108,IF(X13&lt;=1.9,P108,IF(X13&lt;=2,Q108,ошибка)))))))))))))))</f>
        <v>15.145000000000001</v>
      </c>
      <c r="AE26" s="79">
        <f>IF(X14&lt;3.01,0,ошибка)</f>
        <v>0</v>
      </c>
      <c r="AF26" s="79"/>
      <c r="AG26" s="79"/>
      <c r="AH26" s="79"/>
      <c r="AI26" s="79"/>
    </row>
    <row r="27" spans="2:35" ht="33" customHeight="1"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  <c r="P27" s="231"/>
      <c r="Q27" s="232"/>
      <c r="R27" s="233"/>
      <c r="S27" s="232"/>
      <c r="U27" s="263" t="s">
        <v>162</v>
      </c>
      <c r="V27" s="264"/>
      <c r="W27" s="265"/>
      <c r="X27" s="105">
        <f t="shared" si="5"/>
        <v>99.378000000000014</v>
      </c>
      <c r="Y27" s="106">
        <f t="shared" si="6"/>
        <v>6757.7040000000006</v>
      </c>
      <c r="Z27" s="103">
        <f t="shared" si="2"/>
        <v>178.88040000000004</v>
      </c>
      <c r="AA27" s="106">
        <f t="shared" si="4"/>
        <v>12163.867200000001</v>
      </c>
      <c r="AC27" s="79">
        <f>AC22</f>
        <v>59.436000000000007</v>
      </c>
      <c r="AD27" s="79">
        <f>IF(X13&lt;=1,C113,IF(X13&lt;=1.1,D113,IF(X13&lt;=1.2,E113,IF(X13&lt;=1.3,F113,IF(X13&lt;=1.4,G113,IF(X13&lt;=1.5,H113,IF(X13&lt;=1.6,I113,IF(X13&lt;=1.7,J113,IF(X13&lt;=1.8,K113,IF(X13&lt;=1.9,L113,IF(X13&lt;=2,M113,IF(X13&lt;=2.1,N113,IF(X13&lt;=2.2,O113,IF(X13&lt;=2.3,P113,IF(X13&lt;=2.4,Q113,IF(X13&lt;=2.5,R113,IF(X13&lt;=2.6,S113,IF(X13&lt;=2.7,T113,IF(X13&lt;=2.8,U113,IF(X13&lt;=2.9,V113,IF(X13&lt;=3,W113,ошибка)))))))))))))))))))))</f>
        <v>39.942</v>
      </c>
      <c r="AE27" s="79">
        <f>IF(X14&lt;3.01,0,ошибка)</f>
        <v>0</v>
      </c>
      <c r="AF27" s="79"/>
      <c r="AG27" s="79"/>
      <c r="AH27" s="79"/>
      <c r="AI27" s="79"/>
    </row>
    <row r="28" spans="2:35" ht="33" customHeight="1" thickBot="1"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  <c r="P28" s="231"/>
      <c r="Q28" s="232"/>
      <c r="R28" s="233"/>
      <c r="S28" s="232"/>
      <c r="U28" s="266" t="s">
        <v>163</v>
      </c>
      <c r="V28" s="267"/>
      <c r="W28" s="268"/>
      <c r="X28" s="111">
        <f>(AC28+AD28+AE28)*$X$17</f>
        <v>115.12800000000001</v>
      </c>
      <c r="Y28" s="112">
        <f t="shared" si="6"/>
        <v>7828.7040000000006</v>
      </c>
      <c r="Z28" s="129">
        <f>X28*$K$9</f>
        <v>207.23040000000003</v>
      </c>
      <c r="AA28" s="112">
        <f t="shared" si="4"/>
        <v>14091.667200000002</v>
      </c>
      <c r="AC28" s="79">
        <f>AC22</f>
        <v>59.436000000000007</v>
      </c>
      <c r="AD28" s="79">
        <f>IF(X13&lt;=1,C118,IF(X13&lt;=1.1,D118,IF(X13&lt;=1.2,E118,IF(X13&lt;=1.3,F118,IF(X13&lt;=1.4,G118,IF(X13&lt;=1.5,H118,IF(X13&lt;=1.6,I118,IF(X13&lt;=1.7,J118,IF(X13&lt;=1.8,K118,IF(X13&lt;=1.9,L118,IF(X13&lt;=2,M118,IF(X13&lt;=2.1,N118,IF(X13&lt;=2.2,O118,IF(X13&lt;=2.3,P118,IF(X13&lt;=2.4,Q118,IF(X13&lt;=2.5,R118,IF(X13&lt;=2.6,S118,IF(X13&lt;=2.7,T118,IF(X13&lt;=2.8,U118,IF(X13&lt;=2.9,V118,IF(X13&lt;=3,W118,ошибка)))))))))))))))))))))</f>
        <v>55.692</v>
      </c>
      <c r="AE28" s="79">
        <f>IF(X14&lt;3.01,0,ошибка)</f>
        <v>0</v>
      </c>
      <c r="AF28" s="79"/>
      <c r="AG28" s="79"/>
      <c r="AH28" s="79"/>
      <c r="AI28" s="79"/>
    </row>
    <row r="29" spans="2:35" ht="34.9" customHeight="1">
      <c r="B29" s="225">
        <v>8</v>
      </c>
      <c r="C29" s="226" t="s">
        <v>164</v>
      </c>
      <c r="D29" s="226"/>
      <c r="E29" s="226"/>
      <c r="F29" s="226" t="s">
        <v>196</v>
      </c>
      <c r="G29" s="226"/>
      <c r="H29" s="226"/>
      <c r="I29" s="226"/>
      <c r="J29" s="226" t="s">
        <v>165</v>
      </c>
      <c r="K29" s="226"/>
      <c r="L29" s="226" t="s">
        <v>166</v>
      </c>
      <c r="M29" s="226"/>
      <c r="N29" s="226"/>
      <c r="O29" s="227"/>
      <c r="P29" s="231">
        <v>43.704000000000001</v>
      </c>
      <c r="Q29" s="232"/>
      <c r="R29" s="233">
        <f>P29*$K$9</f>
        <v>78.667200000000008</v>
      </c>
      <c r="S29" s="232"/>
    </row>
    <row r="30" spans="2:35" ht="31.9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231"/>
      <c r="Q30" s="232"/>
      <c r="R30" s="233"/>
      <c r="S30" s="232"/>
    </row>
    <row r="31" spans="2:35" ht="23.45" customHeight="1">
      <c r="B31" s="225">
        <v>9</v>
      </c>
      <c r="C31" s="226" t="s">
        <v>167</v>
      </c>
      <c r="D31" s="226"/>
      <c r="E31" s="226"/>
      <c r="F31" s="226" t="s">
        <v>197</v>
      </c>
      <c r="G31" s="226"/>
      <c r="H31" s="226"/>
      <c r="I31" s="226"/>
      <c r="J31" s="226" t="s">
        <v>168</v>
      </c>
      <c r="K31" s="226"/>
      <c r="L31" s="226" t="s">
        <v>169</v>
      </c>
      <c r="M31" s="226"/>
      <c r="N31" s="226"/>
      <c r="O31" s="227"/>
      <c r="P31" s="278">
        <v>50.111999999999995</v>
      </c>
      <c r="Q31" s="279"/>
      <c r="R31" s="233">
        <f t="shared" ref="R31" si="7">P31*$K$9</f>
        <v>90.201599999999999</v>
      </c>
      <c r="S31" s="232"/>
    </row>
    <row r="32" spans="2:35" ht="23.45" customHeight="1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7"/>
      <c r="P32" s="280"/>
      <c r="Q32" s="281"/>
      <c r="R32" s="233"/>
      <c r="S32" s="232"/>
    </row>
    <row r="33" spans="2:27" ht="30.6" customHeight="1">
      <c r="B33" s="225">
        <v>10</v>
      </c>
      <c r="C33" s="226" t="s">
        <v>170</v>
      </c>
      <c r="D33" s="226"/>
      <c r="E33" s="226"/>
      <c r="F33" s="226" t="s">
        <v>198</v>
      </c>
      <c r="G33" s="226"/>
      <c r="H33" s="226"/>
      <c r="I33" s="226"/>
      <c r="J33" s="226" t="s">
        <v>171</v>
      </c>
      <c r="K33" s="226"/>
      <c r="L33" s="226" t="s">
        <v>172</v>
      </c>
      <c r="M33" s="226"/>
      <c r="N33" s="226"/>
      <c r="O33" s="227"/>
      <c r="P33" s="278">
        <v>57.635999999999996</v>
      </c>
      <c r="Q33" s="279"/>
      <c r="R33" s="233">
        <f t="shared" ref="R33" si="8">P33*$K$9</f>
        <v>103.7448</v>
      </c>
      <c r="S33" s="232"/>
    </row>
    <row r="34" spans="2:27" ht="23.45" customHeight="1">
      <c r="B34" s="225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7"/>
      <c r="P34" s="280"/>
      <c r="Q34" s="281"/>
      <c r="R34" s="233"/>
      <c r="S34" s="232"/>
    </row>
    <row r="35" spans="2:27" ht="23.45" customHeight="1">
      <c r="B35" s="225">
        <v>11</v>
      </c>
      <c r="C35" s="226" t="s">
        <v>173</v>
      </c>
      <c r="D35" s="226"/>
      <c r="E35" s="226"/>
      <c r="F35" s="226" t="s">
        <v>174</v>
      </c>
      <c r="G35" s="226"/>
      <c r="H35" s="226"/>
      <c r="I35" s="226"/>
      <c r="J35" s="226" t="s">
        <v>175</v>
      </c>
      <c r="K35" s="226"/>
      <c r="L35" s="226" t="s">
        <v>176</v>
      </c>
      <c r="M35" s="226"/>
      <c r="N35" s="226"/>
      <c r="O35" s="227"/>
      <c r="P35" s="278">
        <v>66.72</v>
      </c>
      <c r="Q35" s="279"/>
      <c r="R35" s="233">
        <f t="shared" ref="R35" si="9">P35*$K$9</f>
        <v>120.096</v>
      </c>
      <c r="S35" s="232"/>
    </row>
    <row r="36" spans="2:27" ht="23.45" customHeight="1">
      <c r="B36" s="225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/>
      <c r="P36" s="280"/>
      <c r="Q36" s="281"/>
      <c r="R36" s="233"/>
      <c r="S36" s="232"/>
    </row>
    <row r="37" spans="2:27" ht="23.45" customHeight="1">
      <c r="B37" s="225">
        <v>12</v>
      </c>
      <c r="C37" s="226" t="s">
        <v>177</v>
      </c>
      <c r="D37" s="226"/>
      <c r="E37" s="226"/>
      <c r="F37" s="226" t="s">
        <v>178</v>
      </c>
      <c r="G37" s="226"/>
      <c r="H37" s="226"/>
      <c r="I37" s="226"/>
      <c r="J37" s="226" t="s">
        <v>179</v>
      </c>
      <c r="K37" s="226"/>
      <c r="L37" s="226" t="s">
        <v>180</v>
      </c>
      <c r="M37" s="226"/>
      <c r="N37" s="226"/>
      <c r="O37" s="227"/>
      <c r="P37" s="278">
        <v>75.635999999999996</v>
      </c>
      <c r="Q37" s="279"/>
      <c r="R37" s="233">
        <f t="shared" ref="R37" si="10">P37*$K$9</f>
        <v>136.1448</v>
      </c>
      <c r="S37" s="232"/>
      <c r="U37" s="97"/>
      <c r="V37" s="97"/>
      <c r="W37" s="97"/>
      <c r="X37" s="97"/>
      <c r="Y37" s="98"/>
      <c r="Z37" s="97"/>
      <c r="AA37" s="98"/>
    </row>
    <row r="38" spans="2:27" ht="23.45" customHeight="1"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7"/>
      <c r="P38" s="280"/>
      <c r="Q38" s="281"/>
      <c r="R38" s="233"/>
      <c r="S38" s="232"/>
      <c r="U38" s="97"/>
      <c r="V38" s="97"/>
      <c r="W38" s="97"/>
      <c r="X38" s="97"/>
      <c r="Y38" s="98"/>
      <c r="Z38" s="97"/>
      <c r="AA38" s="98"/>
    </row>
    <row r="39" spans="2:27" ht="23.45" customHeight="1">
      <c r="B39" s="225">
        <v>13</v>
      </c>
      <c r="C39" s="226" t="s">
        <v>181</v>
      </c>
      <c r="D39" s="226"/>
      <c r="E39" s="226"/>
      <c r="F39" s="226" t="s">
        <v>199</v>
      </c>
      <c r="G39" s="226"/>
      <c r="H39" s="226"/>
      <c r="I39" s="226"/>
      <c r="J39" s="226" t="s">
        <v>200</v>
      </c>
      <c r="K39" s="226"/>
      <c r="L39" s="226" t="s">
        <v>182</v>
      </c>
      <c r="M39" s="226"/>
      <c r="N39" s="226"/>
      <c r="O39" s="227"/>
      <c r="P39" s="278">
        <v>81.036000000000001</v>
      </c>
      <c r="Q39" s="279"/>
      <c r="R39" s="233">
        <f t="shared" ref="R39" si="11">P39*$K$9</f>
        <v>145.8648</v>
      </c>
      <c r="S39" s="232"/>
      <c r="U39" s="97"/>
      <c r="V39" s="97"/>
      <c r="W39" s="97"/>
      <c r="X39" s="97"/>
      <c r="Y39" s="98"/>
      <c r="Z39" s="97"/>
      <c r="AA39" s="98"/>
    </row>
    <row r="40" spans="2:27" ht="27" customHeight="1" thickBot="1">
      <c r="B40" s="287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9"/>
      <c r="P40" s="290"/>
      <c r="Q40" s="291"/>
      <c r="R40" s="284"/>
      <c r="S40" s="285"/>
      <c r="U40" s="97"/>
      <c r="V40" s="97"/>
      <c r="W40" s="97"/>
      <c r="X40" s="97"/>
      <c r="Y40" s="98"/>
      <c r="Z40" s="97"/>
      <c r="AA40" s="98"/>
    </row>
    <row r="41" spans="2:27">
      <c r="U41" s="39"/>
      <c r="V41" s="39"/>
      <c r="W41" s="39"/>
      <c r="X41" s="39"/>
      <c r="Y41" s="39"/>
      <c r="Z41" s="39"/>
      <c r="AA41" s="39"/>
    </row>
    <row r="42" spans="2:27">
      <c r="B42" s="43" t="s">
        <v>100</v>
      </c>
    </row>
    <row r="43" spans="2:27" ht="10.9" customHeight="1"/>
    <row r="44" spans="2:27">
      <c r="B44" s="44" t="s">
        <v>183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2:27">
      <c r="B45" s="62" t="s">
        <v>2</v>
      </c>
      <c r="C45" s="63">
        <v>0.4</v>
      </c>
      <c r="D45" s="63">
        <v>0.45</v>
      </c>
      <c r="E45" s="63">
        <v>0.5</v>
      </c>
      <c r="F45" s="63">
        <v>0.55000000000000004</v>
      </c>
      <c r="G45" s="63">
        <v>0.6</v>
      </c>
      <c r="H45" s="63">
        <v>0.65</v>
      </c>
      <c r="I45" s="63">
        <v>0.7</v>
      </c>
      <c r="J45" s="63">
        <v>0.75</v>
      </c>
      <c r="K45" s="63">
        <v>0.8</v>
      </c>
      <c r="L45" s="63">
        <v>0.85</v>
      </c>
      <c r="M45" s="63">
        <v>0.9</v>
      </c>
      <c r="N45" s="63">
        <v>0.95</v>
      </c>
      <c r="O45" s="63">
        <v>1</v>
      </c>
      <c r="P45" s="63">
        <v>1.05</v>
      </c>
      <c r="Q45" s="63">
        <v>1.1000000000000001</v>
      </c>
      <c r="R45" s="63">
        <v>1.1499999999999999</v>
      </c>
      <c r="S45" s="63">
        <v>1.2</v>
      </c>
      <c r="T45" s="63">
        <v>1.25</v>
      </c>
      <c r="U45" s="63">
        <v>1.3</v>
      </c>
      <c r="V45" s="63">
        <v>1.35</v>
      </c>
      <c r="W45" s="63">
        <v>1.4</v>
      </c>
      <c r="X45" s="63">
        <v>1.45</v>
      </c>
      <c r="Y45" s="63">
        <v>1.5</v>
      </c>
    </row>
    <row r="46" spans="2:27">
      <c r="B46" s="64" t="s">
        <v>3</v>
      </c>
      <c r="C46" s="65">
        <v>10.007999999999999</v>
      </c>
      <c r="D46" s="65">
        <v>10.139999999999999</v>
      </c>
      <c r="E46" s="65">
        <v>10.26</v>
      </c>
      <c r="F46" s="65">
        <v>10.391999999999999</v>
      </c>
      <c r="G46" s="65">
        <v>10.523999999999999</v>
      </c>
      <c r="H46" s="65">
        <v>10.643999999999998</v>
      </c>
      <c r="I46" s="65">
        <v>10.776</v>
      </c>
      <c r="J46" s="65">
        <v>10.907999999999999</v>
      </c>
      <c r="K46" s="65">
        <v>11.027999999999999</v>
      </c>
      <c r="L46" s="65">
        <v>11.16</v>
      </c>
      <c r="M46" s="65">
        <v>11.292</v>
      </c>
      <c r="N46" s="65">
        <v>11.411999999999999</v>
      </c>
      <c r="O46" s="65">
        <v>11.543999999999999</v>
      </c>
      <c r="P46" s="65">
        <v>11.676</v>
      </c>
      <c r="Q46" s="65">
        <v>11.795999999999999</v>
      </c>
      <c r="R46" s="65">
        <v>11.927999999999999</v>
      </c>
      <c r="S46" s="65">
        <v>12.06</v>
      </c>
      <c r="T46" s="65">
        <v>12.18</v>
      </c>
      <c r="U46" s="65">
        <v>12.311999999999999</v>
      </c>
      <c r="V46" s="65">
        <v>12.443999999999999</v>
      </c>
      <c r="W46" s="65">
        <v>12.564</v>
      </c>
      <c r="X46" s="65">
        <v>12.696</v>
      </c>
      <c r="Y46" s="65">
        <v>12.827999999999999</v>
      </c>
    </row>
    <row r="47" spans="2:27">
      <c r="B47" s="64" t="s">
        <v>4</v>
      </c>
      <c r="C47" s="65">
        <f>C46*$K$9</f>
        <v>18.014399999999998</v>
      </c>
      <c r="D47" s="65">
        <f t="shared" ref="D47:Y47" si="12">D46*$K$9</f>
        <v>18.251999999999999</v>
      </c>
      <c r="E47" s="65">
        <f t="shared" si="12"/>
        <v>18.468</v>
      </c>
      <c r="F47" s="65">
        <f t="shared" si="12"/>
        <v>18.7056</v>
      </c>
      <c r="G47" s="65">
        <f t="shared" si="12"/>
        <v>18.943199999999997</v>
      </c>
      <c r="H47" s="65">
        <f t="shared" si="12"/>
        <v>19.159199999999998</v>
      </c>
      <c r="I47" s="65">
        <f t="shared" si="12"/>
        <v>19.396799999999999</v>
      </c>
      <c r="J47" s="65">
        <f t="shared" si="12"/>
        <v>19.634399999999999</v>
      </c>
      <c r="K47" s="65">
        <f t="shared" si="12"/>
        <v>19.850399999999997</v>
      </c>
      <c r="L47" s="65">
        <f t="shared" si="12"/>
        <v>20.088000000000001</v>
      </c>
      <c r="M47" s="65">
        <f t="shared" si="12"/>
        <v>20.325600000000001</v>
      </c>
      <c r="N47" s="65">
        <f t="shared" si="12"/>
        <v>20.541599999999999</v>
      </c>
      <c r="O47" s="65">
        <f t="shared" si="12"/>
        <v>20.779199999999999</v>
      </c>
      <c r="P47" s="65">
        <f t="shared" si="12"/>
        <v>21.0168</v>
      </c>
      <c r="Q47" s="65">
        <f t="shared" si="12"/>
        <v>21.232800000000001</v>
      </c>
      <c r="R47" s="65">
        <f t="shared" si="12"/>
        <v>21.470399999999998</v>
      </c>
      <c r="S47" s="65">
        <f t="shared" si="12"/>
        <v>21.708000000000002</v>
      </c>
      <c r="T47" s="65">
        <f t="shared" si="12"/>
        <v>21.923999999999999</v>
      </c>
      <c r="U47" s="65">
        <f t="shared" si="12"/>
        <v>22.1616</v>
      </c>
      <c r="V47" s="65">
        <f t="shared" si="12"/>
        <v>22.3992</v>
      </c>
      <c r="W47" s="65">
        <f t="shared" si="12"/>
        <v>22.615200000000002</v>
      </c>
      <c r="X47" s="65">
        <f t="shared" si="12"/>
        <v>22.852799999999998</v>
      </c>
      <c r="Y47" s="65">
        <f t="shared" si="12"/>
        <v>23.090399999999999</v>
      </c>
    </row>
    <row r="49" spans="1:25">
      <c r="B49" s="44" t="s">
        <v>184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25">
      <c r="B50" s="62" t="s">
        <v>2</v>
      </c>
      <c r="C50" s="63">
        <v>0.4</v>
      </c>
      <c r="D50" s="63">
        <v>0.45</v>
      </c>
      <c r="E50" s="63">
        <v>0.5</v>
      </c>
      <c r="F50" s="63">
        <v>0.55000000000000004</v>
      </c>
      <c r="G50" s="63">
        <v>0.6</v>
      </c>
      <c r="H50" s="63">
        <v>0.65</v>
      </c>
      <c r="I50" s="63">
        <v>0.7</v>
      </c>
      <c r="J50" s="63">
        <v>0.75</v>
      </c>
      <c r="K50" s="63">
        <v>0.8</v>
      </c>
      <c r="L50" s="63">
        <v>0.85</v>
      </c>
      <c r="M50" s="63">
        <v>0.9</v>
      </c>
      <c r="N50" s="63">
        <v>0.95</v>
      </c>
      <c r="O50" s="63">
        <v>1</v>
      </c>
      <c r="P50" s="63">
        <v>1.05</v>
      </c>
      <c r="Q50" s="63">
        <v>1.1000000000000001</v>
      </c>
      <c r="R50" s="63">
        <v>1.1499999999999999</v>
      </c>
      <c r="S50" s="63">
        <v>1.2</v>
      </c>
      <c r="U50" s="43"/>
    </row>
    <row r="51" spans="1:25">
      <c r="A51" s="66" t="s">
        <v>3</v>
      </c>
      <c r="B51" s="282">
        <v>1</v>
      </c>
      <c r="C51" s="65">
        <v>12.923999999999999</v>
      </c>
      <c r="D51" s="65">
        <v>13.223999999999998</v>
      </c>
      <c r="E51" s="65">
        <v>13.536</v>
      </c>
      <c r="F51" s="65">
        <v>13.835999999999999</v>
      </c>
      <c r="G51" s="65">
        <v>14.135999999999999</v>
      </c>
      <c r="H51" s="65">
        <v>14.447999999999999</v>
      </c>
      <c r="I51" s="65">
        <v>14.747999999999998</v>
      </c>
      <c r="J51" s="65">
        <v>15.06</v>
      </c>
      <c r="K51" s="65">
        <v>15.36</v>
      </c>
      <c r="L51" s="65">
        <v>15.66</v>
      </c>
      <c r="M51" s="65">
        <v>15.972</v>
      </c>
      <c r="N51" s="65">
        <v>16.271999999999998</v>
      </c>
      <c r="O51" s="65">
        <v>16.584</v>
      </c>
      <c r="P51" s="65">
        <v>16.884</v>
      </c>
      <c r="Q51" s="65">
        <v>17.195999999999998</v>
      </c>
      <c r="R51" s="65">
        <v>17.495999999999999</v>
      </c>
      <c r="S51" s="65">
        <v>17.795999999999999</v>
      </c>
      <c r="U51" s="286" t="s">
        <v>185</v>
      </c>
      <c r="V51" s="286"/>
      <c r="W51" s="286"/>
      <c r="X51" s="286"/>
      <c r="Y51" s="286"/>
    </row>
    <row r="52" spans="1:25">
      <c r="A52" s="66" t="s">
        <v>4</v>
      </c>
      <c r="B52" s="283"/>
      <c r="C52" s="67">
        <f>C51*$K$9</f>
        <v>23.263200000000001</v>
      </c>
      <c r="D52" s="67">
        <f t="shared" ref="D52:S52" si="13">D51*$K$9</f>
        <v>23.803199999999997</v>
      </c>
      <c r="E52" s="67">
        <f t="shared" si="13"/>
        <v>24.364799999999999</v>
      </c>
      <c r="F52" s="67">
        <f t="shared" si="13"/>
        <v>24.904799999999998</v>
      </c>
      <c r="G52" s="67">
        <f t="shared" si="13"/>
        <v>25.444800000000001</v>
      </c>
      <c r="H52" s="67">
        <f t="shared" si="13"/>
        <v>26.006399999999999</v>
      </c>
      <c r="I52" s="67">
        <f t="shared" si="13"/>
        <v>26.546399999999995</v>
      </c>
      <c r="J52" s="67">
        <f t="shared" si="13"/>
        <v>27.108000000000001</v>
      </c>
      <c r="K52" s="67">
        <f t="shared" si="13"/>
        <v>27.648</v>
      </c>
      <c r="L52" s="67">
        <f t="shared" si="13"/>
        <v>28.188000000000002</v>
      </c>
      <c r="M52" s="67">
        <f t="shared" si="13"/>
        <v>28.749600000000001</v>
      </c>
      <c r="N52" s="67">
        <f t="shared" si="13"/>
        <v>29.289599999999997</v>
      </c>
      <c r="O52" s="67">
        <f t="shared" si="13"/>
        <v>29.851199999999999</v>
      </c>
      <c r="P52" s="67">
        <f t="shared" si="13"/>
        <v>30.391200000000001</v>
      </c>
      <c r="Q52" s="67">
        <f t="shared" si="13"/>
        <v>30.952799999999996</v>
      </c>
      <c r="R52" s="67">
        <f t="shared" si="13"/>
        <v>31.492799999999999</v>
      </c>
      <c r="S52" s="67">
        <f t="shared" si="13"/>
        <v>32.032800000000002</v>
      </c>
      <c r="U52" s="286"/>
      <c r="V52" s="286"/>
      <c r="W52" s="286"/>
      <c r="X52" s="286"/>
      <c r="Y52" s="286"/>
    </row>
    <row r="53" spans="1:25">
      <c r="B53" s="282">
        <v>1.1000000000000001</v>
      </c>
      <c r="C53" s="65">
        <v>13.212</v>
      </c>
      <c r="D53" s="65">
        <v>13.511999999999999</v>
      </c>
      <c r="E53" s="65">
        <v>13.824</v>
      </c>
      <c r="F53" s="65">
        <v>14.123999999999999</v>
      </c>
      <c r="G53" s="65">
        <v>14.423999999999999</v>
      </c>
      <c r="H53" s="65">
        <v>14.735999999999999</v>
      </c>
      <c r="I53" s="65">
        <v>15.035999999999998</v>
      </c>
      <c r="J53" s="65">
        <v>15.348000000000001</v>
      </c>
      <c r="K53" s="65">
        <v>15.648</v>
      </c>
      <c r="L53" s="65">
        <v>15.948</v>
      </c>
      <c r="M53" s="65">
        <v>16.260000000000002</v>
      </c>
      <c r="N53" s="65">
        <v>16.559999999999999</v>
      </c>
      <c r="O53" s="65">
        <v>16.872</v>
      </c>
      <c r="P53" s="65">
        <v>17.172000000000001</v>
      </c>
      <c r="Q53" s="65">
        <v>17.483999999999998</v>
      </c>
      <c r="R53" s="65">
        <v>17.783999999999999</v>
      </c>
      <c r="S53" s="65">
        <v>18.084</v>
      </c>
      <c r="U53" s="286"/>
      <c r="V53" s="286"/>
      <c r="W53" s="286"/>
      <c r="X53" s="286"/>
      <c r="Y53" s="286"/>
    </row>
    <row r="54" spans="1:25">
      <c r="B54" s="283"/>
      <c r="C54" s="67">
        <f>C53*$K$9</f>
        <v>23.781600000000001</v>
      </c>
      <c r="D54" s="67">
        <f t="shared" ref="D54:S54" si="14">D53*$K$9</f>
        <v>24.321599999999997</v>
      </c>
      <c r="E54" s="67">
        <f t="shared" si="14"/>
        <v>24.883199999999999</v>
      </c>
      <c r="F54" s="67">
        <f t="shared" si="14"/>
        <v>25.423199999999998</v>
      </c>
      <c r="G54" s="67">
        <f t="shared" si="14"/>
        <v>25.963200000000001</v>
      </c>
      <c r="H54" s="67">
        <f t="shared" si="14"/>
        <v>26.524799999999999</v>
      </c>
      <c r="I54" s="67">
        <f t="shared" si="14"/>
        <v>27.064799999999998</v>
      </c>
      <c r="J54" s="67">
        <f t="shared" si="14"/>
        <v>27.6264</v>
      </c>
      <c r="K54" s="67">
        <f t="shared" si="14"/>
        <v>28.166399999999999</v>
      </c>
      <c r="L54" s="67">
        <f t="shared" si="14"/>
        <v>28.706400000000002</v>
      </c>
      <c r="M54" s="67">
        <f t="shared" si="14"/>
        <v>29.268000000000004</v>
      </c>
      <c r="N54" s="67">
        <f t="shared" si="14"/>
        <v>29.808</v>
      </c>
      <c r="O54" s="67">
        <f t="shared" si="14"/>
        <v>30.369600000000002</v>
      </c>
      <c r="P54" s="67">
        <f t="shared" si="14"/>
        <v>30.909600000000001</v>
      </c>
      <c r="Q54" s="67">
        <f t="shared" si="14"/>
        <v>31.471199999999996</v>
      </c>
      <c r="R54" s="67">
        <f t="shared" si="14"/>
        <v>32.011200000000002</v>
      </c>
      <c r="S54" s="67">
        <f t="shared" si="14"/>
        <v>32.551200000000001</v>
      </c>
    </row>
    <row r="55" spans="1:25">
      <c r="B55" s="282">
        <v>1.2</v>
      </c>
      <c r="C55" s="65">
        <v>13.488</v>
      </c>
      <c r="D55" s="65">
        <v>13.799999999999999</v>
      </c>
      <c r="E55" s="65">
        <v>14.112</v>
      </c>
      <c r="F55" s="65">
        <v>14.411999999999999</v>
      </c>
      <c r="G55" s="65">
        <v>14.712</v>
      </c>
      <c r="H55" s="65">
        <v>15.023999999999999</v>
      </c>
      <c r="I55" s="65">
        <v>15.323999999999998</v>
      </c>
      <c r="J55" s="65">
        <v>15.636000000000001</v>
      </c>
      <c r="K55" s="65">
        <v>15.936</v>
      </c>
      <c r="L55" s="65">
        <v>16.236000000000001</v>
      </c>
      <c r="M55" s="65">
        <v>16.548000000000002</v>
      </c>
      <c r="N55" s="65">
        <v>16.847999999999999</v>
      </c>
      <c r="O55" s="65">
        <v>17.16</v>
      </c>
      <c r="P55" s="65">
        <v>17.46</v>
      </c>
      <c r="Q55" s="65">
        <v>17.771999999999998</v>
      </c>
      <c r="R55" s="65">
        <v>18.071999999999999</v>
      </c>
      <c r="S55" s="65">
        <v>18.372</v>
      </c>
      <c r="V55" s="68"/>
    </row>
    <row r="56" spans="1:25">
      <c r="B56" s="283"/>
      <c r="C56" s="67">
        <f>C55*$K$9</f>
        <v>24.278400000000001</v>
      </c>
      <c r="D56" s="67">
        <f t="shared" ref="D56:S56" si="15">D55*$K$9</f>
        <v>24.84</v>
      </c>
      <c r="E56" s="67">
        <f t="shared" si="15"/>
        <v>25.401600000000002</v>
      </c>
      <c r="F56" s="67">
        <f t="shared" si="15"/>
        <v>25.941599999999998</v>
      </c>
      <c r="G56" s="67">
        <f t="shared" si="15"/>
        <v>26.4816</v>
      </c>
      <c r="H56" s="67">
        <f t="shared" si="15"/>
        <v>27.043199999999999</v>
      </c>
      <c r="I56" s="67">
        <f t="shared" si="15"/>
        <v>27.583199999999998</v>
      </c>
      <c r="J56" s="67">
        <f t="shared" si="15"/>
        <v>28.144800000000004</v>
      </c>
      <c r="K56" s="67">
        <f t="shared" si="15"/>
        <v>28.684799999999999</v>
      </c>
      <c r="L56" s="67">
        <f t="shared" si="15"/>
        <v>29.224800000000002</v>
      </c>
      <c r="M56" s="67">
        <f t="shared" si="15"/>
        <v>29.786400000000004</v>
      </c>
      <c r="N56" s="67">
        <f t="shared" si="15"/>
        <v>30.3264</v>
      </c>
      <c r="O56" s="67">
        <f t="shared" si="15"/>
        <v>30.888000000000002</v>
      </c>
      <c r="P56" s="67">
        <f t="shared" si="15"/>
        <v>31.428000000000001</v>
      </c>
      <c r="Q56" s="67">
        <f t="shared" si="15"/>
        <v>31.989599999999999</v>
      </c>
      <c r="R56" s="67">
        <f t="shared" si="15"/>
        <v>32.529600000000002</v>
      </c>
      <c r="S56" s="67">
        <f t="shared" si="15"/>
        <v>33.069600000000001</v>
      </c>
    </row>
    <row r="57" spans="1:25">
      <c r="B57" s="282">
        <v>1.3</v>
      </c>
      <c r="C57" s="65">
        <v>13.776</v>
      </c>
      <c r="D57" s="65">
        <v>14.087999999999999</v>
      </c>
      <c r="E57" s="65">
        <v>14.399999999999999</v>
      </c>
      <c r="F57" s="65">
        <v>14.7</v>
      </c>
      <c r="G57" s="65">
        <v>15</v>
      </c>
      <c r="H57" s="65">
        <v>15.311999999999999</v>
      </c>
      <c r="I57" s="65">
        <v>15.611999999999998</v>
      </c>
      <c r="J57" s="65">
        <v>15.924000000000001</v>
      </c>
      <c r="K57" s="65">
        <v>16.224</v>
      </c>
      <c r="L57" s="65">
        <v>16.524000000000001</v>
      </c>
      <c r="M57" s="65">
        <v>16.836000000000002</v>
      </c>
      <c r="N57" s="65">
        <v>17.135999999999999</v>
      </c>
      <c r="O57" s="65">
        <v>17.448</v>
      </c>
      <c r="P57" s="65">
        <v>17.748000000000001</v>
      </c>
      <c r="Q57" s="65">
        <v>18.059999999999999</v>
      </c>
      <c r="R57" s="65">
        <v>18.36</v>
      </c>
      <c r="S57" s="65">
        <v>18.66</v>
      </c>
      <c r="V57" s="68"/>
    </row>
    <row r="58" spans="1:25">
      <c r="B58" s="283"/>
      <c r="C58" s="67">
        <f>C57*$K$9</f>
        <v>24.796800000000001</v>
      </c>
      <c r="D58" s="67">
        <f t="shared" ref="D58:S58" si="16">D57*$K$9</f>
        <v>25.3584</v>
      </c>
      <c r="E58" s="67">
        <f t="shared" si="16"/>
        <v>25.919999999999998</v>
      </c>
      <c r="F58" s="67">
        <f t="shared" si="16"/>
        <v>26.46</v>
      </c>
      <c r="G58" s="67">
        <f t="shared" si="16"/>
        <v>27</v>
      </c>
      <c r="H58" s="67">
        <f t="shared" si="16"/>
        <v>27.561599999999999</v>
      </c>
      <c r="I58" s="67">
        <f t="shared" si="16"/>
        <v>28.101599999999998</v>
      </c>
      <c r="J58" s="67">
        <f t="shared" si="16"/>
        <v>28.663200000000003</v>
      </c>
      <c r="K58" s="67">
        <f t="shared" si="16"/>
        <v>29.203200000000002</v>
      </c>
      <c r="L58" s="67">
        <f t="shared" si="16"/>
        <v>29.743200000000002</v>
      </c>
      <c r="M58" s="67">
        <f t="shared" si="16"/>
        <v>30.304800000000004</v>
      </c>
      <c r="N58" s="67">
        <f t="shared" si="16"/>
        <v>30.844799999999999</v>
      </c>
      <c r="O58" s="67">
        <f t="shared" si="16"/>
        <v>31.406400000000001</v>
      </c>
      <c r="P58" s="67">
        <f t="shared" si="16"/>
        <v>31.946400000000004</v>
      </c>
      <c r="Q58" s="67">
        <f t="shared" si="16"/>
        <v>32.507999999999996</v>
      </c>
      <c r="R58" s="67">
        <f t="shared" si="16"/>
        <v>33.048000000000002</v>
      </c>
      <c r="S58" s="67">
        <f t="shared" si="16"/>
        <v>33.588000000000001</v>
      </c>
    </row>
    <row r="59" spans="1:25">
      <c r="B59" s="282">
        <v>1.4</v>
      </c>
      <c r="C59" s="65">
        <v>14.064</v>
      </c>
      <c r="D59" s="65">
        <v>14.375999999999999</v>
      </c>
      <c r="E59" s="65">
        <v>14.687999999999999</v>
      </c>
      <c r="F59" s="65">
        <v>14.988</v>
      </c>
      <c r="G59" s="65">
        <v>15.288</v>
      </c>
      <c r="H59" s="65">
        <v>15.6</v>
      </c>
      <c r="I59" s="65">
        <v>15.899999999999999</v>
      </c>
      <c r="J59" s="65">
        <v>16.212</v>
      </c>
      <c r="K59" s="65">
        <v>16.512</v>
      </c>
      <c r="L59" s="65">
        <v>16.812000000000001</v>
      </c>
      <c r="M59" s="65">
        <v>17.124000000000002</v>
      </c>
      <c r="N59" s="65">
        <v>17.423999999999999</v>
      </c>
      <c r="O59" s="65">
        <v>17.736000000000001</v>
      </c>
      <c r="P59" s="65">
        <v>18.036000000000001</v>
      </c>
      <c r="Q59" s="65">
        <v>18.347999999999999</v>
      </c>
      <c r="R59" s="65">
        <v>18.648</v>
      </c>
      <c r="S59" s="65">
        <v>18.948</v>
      </c>
      <c r="V59" s="68"/>
    </row>
    <row r="60" spans="1:25">
      <c r="B60" s="283"/>
      <c r="C60" s="67">
        <f>C59*$K$9</f>
        <v>25.315200000000001</v>
      </c>
      <c r="D60" s="67">
        <f t="shared" ref="D60:S60" si="17">D59*$K$9</f>
        <v>25.876799999999999</v>
      </c>
      <c r="E60" s="67">
        <f t="shared" si="17"/>
        <v>26.438399999999998</v>
      </c>
      <c r="F60" s="67">
        <f t="shared" si="17"/>
        <v>26.978400000000001</v>
      </c>
      <c r="G60" s="67">
        <f t="shared" si="17"/>
        <v>27.5184</v>
      </c>
      <c r="H60" s="67">
        <f t="shared" si="17"/>
        <v>28.08</v>
      </c>
      <c r="I60" s="67">
        <f t="shared" si="17"/>
        <v>28.619999999999997</v>
      </c>
      <c r="J60" s="67">
        <f t="shared" si="17"/>
        <v>29.1816</v>
      </c>
      <c r="K60" s="67">
        <f t="shared" si="17"/>
        <v>29.721600000000002</v>
      </c>
      <c r="L60" s="67">
        <f t="shared" si="17"/>
        <v>30.261600000000001</v>
      </c>
      <c r="M60" s="67">
        <f t="shared" si="17"/>
        <v>30.823200000000003</v>
      </c>
      <c r="N60" s="67">
        <f t="shared" si="17"/>
        <v>31.363199999999999</v>
      </c>
      <c r="O60" s="67">
        <f t="shared" si="17"/>
        <v>31.924800000000001</v>
      </c>
      <c r="P60" s="67">
        <f t="shared" si="17"/>
        <v>32.464800000000004</v>
      </c>
      <c r="Q60" s="67">
        <f t="shared" si="17"/>
        <v>33.026400000000002</v>
      </c>
      <c r="R60" s="67">
        <f t="shared" si="17"/>
        <v>33.566400000000002</v>
      </c>
      <c r="S60" s="67">
        <f t="shared" si="17"/>
        <v>34.106400000000001</v>
      </c>
    </row>
    <row r="61" spans="1:25">
      <c r="B61" s="282">
        <v>1.5</v>
      </c>
      <c r="C61" s="65">
        <v>14.352</v>
      </c>
      <c r="D61" s="65">
        <v>14.664</v>
      </c>
      <c r="E61" s="65">
        <v>14.975999999999999</v>
      </c>
      <c r="F61" s="65">
        <v>15.276</v>
      </c>
      <c r="G61" s="65">
        <v>15.576000000000001</v>
      </c>
      <c r="H61" s="65">
        <v>15.888</v>
      </c>
      <c r="I61" s="65">
        <v>16.187999999999999</v>
      </c>
      <c r="J61" s="65">
        <v>16.5</v>
      </c>
      <c r="K61" s="65">
        <v>16.8</v>
      </c>
      <c r="L61" s="65">
        <v>17.100000000000001</v>
      </c>
      <c r="M61" s="65">
        <v>17.412000000000003</v>
      </c>
      <c r="N61" s="65">
        <v>17.712</v>
      </c>
      <c r="O61" s="65">
        <v>18.024000000000001</v>
      </c>
      <c r="P61" s="65">
        <v>18.324000000000002</v>
      </c>
      <c r="Q61" s="65">
        <v>18.635999999999999</v>
      </c>
      <c r="R61" s="65">
        <v>18.936</v>
      </c>
      <c r="S61" s="65">
        <v>19.236000000000001</v>
      </c>
      <c r="V61" s="68"/>
    </row>
    <row r="62" spans="1:25">
      <c r="B62" s="283"/>
      <c r="C62" s="67">
        <f>C61*$K$9</f>
        <v>25.833600000000001</v>
      </c>
      <c r="D62" s="67">
        <f t="shared" ref="D62:S62" si="18">D61*$K$9</f>
        <v>26.395199999999999</v>
      </c>
      <c r="E62" s="67">
        <f t="shared" si="18"/>
        <v>26.956799999999998</v>
      </c>
      <c r="F62" s="67">
        <f t="shared" si="18"/>
        <v>27.4968</v>
      </c>
      <c r="G62" s="67">
        <f t="shared" si="18"/>
        <v>28.036800000000003</v>
      </c>
      <c r="H62" s="67">
        <f t="shared" si="18"/>
        <v>28.598400000000002</v>
      </c>
      <c r="I62" s="67">
        <f t="shared" si="18"/>
        <v>29.138399999999997</v>
      </c>
      <c r="J62" s="67">
        <f t="shared" si="18"/>
        <v>29.7</v>
      </c>
      <c r="K62" s="67">
        <f t="shared" si="18"/>
        <v>30.240000000000002</v>
      </c>
      <c r="L62" s="67">
        <f t="shared" si="18"/>
        <v>30.780000000000005</v>
      </c>
      <c r="M62" s="67">
        <f t="shared" si="18"/>
        <v>31.341600000000007</v>
      </c>
      <c r="N62" s="67">
        <f t="shared" si="18"/>
        <v>31.881599999999999</v>
      </c>
      <c r="O62" s="67">
        <f t="shared" si="18"/>
        <v>32.443200000000004</v>
      </c>
      <c r="P62" s="67">
        <f t="shared" si="18"/>
        <v>32.983200000000004</v>
      </c>
      <c r="Q62" s="67">
        <f t="shared" si="18"/>
        <v>33.544800000000002</v>
      </c>
      <c r="R62" s="67">
        <f t="shared" si="18"/>
        <v>34.084800000000001</v>
      </c>
      <c r="S62" s="67">
        <f t="shared" si="18"/>
        <v>34.6248</v>
      </c>
    </row>
    <row r="63" spans="1:25">
      <c r="B63" s="282">
        <v>1.6</v>
      </c>
      <c r="C63" s="65">
        <v>14.639999999999999</v>
      </c>
      <c r="D63" s="65">
        <v>14.952</v>
      </c>
      <c r="E63" s="65">
        <v>15.263999999999999</v>
      </c>
      <c r="F63" s="65">
        <v>15.564</v>
      </c>
      <c r="G63" s="65">
        <v>15.864000000000001</v>
      </c>
      <c r="H63" s="65">
        <v>16.175999999999998</v>
      </c>
      <c r="I63" s="65">
        <v>16.475999999999999</v>
      </c>
      <c r="J63" s="65">
        <v>16.788</v>
      </c>
      <c r="K63" s="65">
        <v>17.088000000000001</v>
      </c>
      <c r="L63" s="65">
        <v>17.388000000000002</v>
      </c>
      <c r="M63" s="65">
        <v>17.700000000000003</v>
      </c>
      <c r="N63" s="65">
        <v>18</v>
      </c>
      <c r="O63" s="65">
        <v>18.312000000000001</v>
      </c>
      <c r="P63" s="65">
        <v>18.612000000000002</v>
      </c>
      <c r="Q63" s="65">
        <v>18.923999999999999</v>
      </c>
      <c r="R63" s="65">
        <v>19.224</v>
      </c>
      <c r="S63" s="65">
        <v>19.523999999999997</v>
      </c>
      <c r="V63" s="68"/>
    </row>
    <row r="64" spans="1:25">
      <c r="B64" s="283"/>
      <c r="C64" s="67">
        <f>C63*$K$9</f>
        <v>26.351999999999997</v>
      </c>
      <c r="D64" s="67">
        <f t="shared" ref="D64:S64" si="19">D63*$K$9</f>
        <v>26.913599999999999</v>
      </c>
      <c r="E64" s="67">
        <f t="shared" si="19"/>
        <v>27.475200000000001</v>
      </c>
      <c r="F64" s="67">
        <f t="shared" si="19"/>
        <v>28.0152</v>
      </c>
      <c r="G64" s="67">
        <f t="shared" si="19"/>
        <v>28.555200000000003</v>
      </c>
      <c r="H64" s="67">
        <f t="shared" si="19"/>
        <v>29.116799999999998</v>
      </c>
      <c r="I64" s="67">
        <f t="shared" si="19"/>
        <v>29.6568</v>
      </c>
      <c r="J64" s="67">
        <f t="shared" si="19"/>
        <v>30.218400000000003</v>
      </c>
      <c r="K64" s="67">
        <f t="shared" si="19"/>
        <v>30.758400000000002</v>
      </c>
      <c r="L64" s="67">
        <f t="shared" si="19"/>
        <v>31.298400000000004</v>
      </c>
      <c r="M64" s="67">
        <f t="shared" si="19"/>
        <v>31.860000000000007</v>
      </c>
      <c r="N64" s="67">
        <f t="shared" si="19"/>
        <v>32.4</v>
      </c>
      <c r="O64" s="67">
        <f t="shared" si="19"/>
        <v>32.961600000000004</v>
      </c>
      <c r="P64" s="67">
        <f t="shared" si="19"/>
        <v>33.501600000000003</v>
      </c>
      <c r="Q64" s="67">
        <f t="shared" si="19"/>
        <v>34.063200000000002</v>
      </c>
      <c r="R64" s="67">
        <f t="shared" si="19"/>
        <v>34.603200000000001</v>
      </c>
      <c r="S64" s="67">
        <f t="shared" si="19"/>
        <v>35.143199999999993</v>
      </c>
    </row>
    <row r="65" spans="1:25">
      <c r="B65" s="282">
        <v>1.7</v>
      </c>
      <c r="C65" s="65">
        <v>14.927999999999999</v>
      </c>
      <c r="D65" s="65">
        <v>15.24</v>
      </c>
      <c r="E65" s="65">
        <v>15.552</v>
      </c>
      <c r="F65" s="65">
        <v>15.852</v>
      </c>
      <c r="G65" s="65">
        <v>16.152000000000001</v>
      </c>
      <c r="H65" s="65">
        <v>16.463999999999999</v>
      </c>
      <c r="I65" s="65">
        <v>16.763999999999999</v>
      </c>
      <c r="J65" s="65">
        <v>17.076000000000001</v>
      </c>
      <c r="K65" s="65">
        <v>17.376000000000001</v>
      </c>
      <c r="L65" s="65">
        <v>17.676000000000002</v>
      </c>
      <c r="M65" s="65">
        <v>17.988000000000003</v>
      </c>
      <c r="N65" s="65">
        <v>18.288</v>
      </c>
      <c r="O65" s="65">
        <v>18.600000000000001</v>
      </c>
      <c r="P65" s="65">
        <v>18.900000000000002</v>
      </c>
      <c r="Q65" s="65">
        <v>19.212</v>
      </c>
      <c r="R65" s="65">
        <v>19.511999999999997</v>
      </c>
      <c r="S65" s="65">
        <v>19.811999999999998</v>
      </c>
      <c r="V65" s="68"/>
    </row>
    <row r="66" spans="1:25">
      <c r="B66" s="283"/>
      <c r="C66" s="67">
        <f>C65*$K$9</f>
        <v>26.8704</v>
      </c>
      <c r="D66" s="67">
        <f t="shared" ref="D66:S66" si="20">D65*$K$9</f>
        <v>27.432000000000002</v>
      </c>
      <c r="E66" s="67">
        <f t="shared" si="20"/>
        <v>27.993600000000001</v>
      </c>
      <c r="F66" s="67">
        <f t="shared" si="20"/>
        <v>28.5336</v>
      </c>
      <c r="G66" s="67">
        <f t="shared" si="20"/>
        <v>29.073600000000003</v>
      </c>
      <c r="H66" s="67">
        <f t="shared" si="20"/>
        <v>29.635199999999998</v>
      </c>
      <c r="I66" s="67">
        <f t="shared" si="20"/>
        <v>30.1752</v>
      </c>
      <c r="J66" s="67">
        <f t="shared" si="20"/>
        <v>30.736800000000002</v>
      </c>
      <c r="K66" s="67">
        <f t="shared" si="20"/>
        <v>31.276800000000001</v>
      </c>
      <c r="L66" s="67">
        <f t="shared" si="20"/>
        <v>31.816800000000004</v>
      </c>
      <c r="M66" s="67">
        <f t="shared" si="20"/>
        <v>32.378400000000006</v>
      </c>
      <c r="N66" s="67">
        <f t="shared" si="20"/>
        <v>32.918399999999998</v>
      </c>
      <c r="O66" s="67">
        <f t="shared" si="20"/>
        <v>33.480000000000004</v>
      </c>
      <c r="P66" s="67">
        <f t="shared" si="20"/>
        <v>34.020000000000003</v>
      </c>
      <c r="Q66" s="67">
        <f t="shared" si="20"/>
        <v>34.581600000000002</v>
      </c>
      <c r="R66" s="67">
        <f t="shared" si="20"/>
        <v>35.121599999999994</v>
      </c>
      <c r="S66" s="67">
        <f t="shared" si="20"/>
        <v>35.6616</v>
      </c>
    </row>
    <row r="67" spans="1:25">
      <c r="B67" s="282">
        <v>1.8</v>
      </c>
      <c r="C67" s="65">
        <v>15.215999999999999</v>
      </c>
      <c r="D67" s="65">
        <v>15.528</v>
      </c>
      <c r="E67" s="65">
        <v>15.84</v>
      </c>
      <c r="F67" s="65">
        <v>16.14</v>
      </c>
      <c r="G67" s="65">
        <v>16.440000000000001</v>
      </c>
      <c r="H67" s="65">
        <v>16.751999999999999</v>
      </c>
      <c r="I67" s="65">
        <v>17.052</v>
      </c>
      <c r="J67" s="65">
        <v>17.364000000000001</v>
      </c>
      <c r="K67" s="65">
        <v>17.664000000000001</v>
      </c>
      <c r="L67" s="65">
        <v>17.964000000000002</v>
      </c>
      <c r="M67" s="65">
        <v>18.276000000000003</v>
      </c>
      <c r="N67" s="65">
        <v>18.576000000000001</v>
      </c>
      <c r="O67" s="65">
        <v>18.888000000000002</v>
      </c>
      <c r="P67" s="65">
        <v>19.188000000000002</v>
      </c>
      <c r="Q67" s="65">
        <v>19.5</v>
      </c>
      <c r="R67" s="65">
        <v>19.799999999999994</v>
      </c>
      <c r="S67" s="65">
        <v>20.099999999999994</v>
      </c>
      <c r="V67" s="68"/>
    </row>
    <row r="68" spans="1:25">
      <c r="B68" s="283"/>
      <c r="C68" s="67">
        <f>C67*$K$9</f>
        <v>27.3888</v>
      </c>
      <c r="D68" s="67">
        <f t="shared" ref="D68:S68" si="21">D67*$K$9</f>
        <v>27.950400000000002</v>
      </c>
      <c r="E68" s="67">
        <f t="shared" si="21"/>
        <v>28.512</v>
      </c>
      <c r="F68" s="67">
        <f t="shared" si="21"/>
        <v>29.052000000000003</v>
      </c>
      <c r="G68" s="67">
        <f t="shared" si="21"/>
        <v>29.592000000000002</v>
      </c>
      <c r="H68" s="67">
        <f t="shared" si="21"/>
        <v>30.153599999999997</v>
      </c>
      <c r="I68" s="67">
        <f t="shared" si="21"/>
        <v>30.6936</v>
      </c>
      <c r="J68" s="67">
        <f t="shared" si="21"/>
        <v>31.255200000000002</v>
      </c>
      <c r="K68" s="67">
        <f t="shared" si="21"/>
        <v>31.795200000000005</v>
      </c>
      <c r="L68" s="67">
        <f t="shared" si="21"/>
        <v>32.335200000000007</v>
      </c>
      <c r="M68" s="67">
        <f t="shared" si="21"/>
        <v>32.896800000000006</v>
      </c>
      <c r="N68" s="67">
        <f t="shared" si="21"/>
        <v>33.436800000000005</v>
      </c>
      <c r="O68" s="67">
        <f t="shared" si="21"/>
        <v>33.998400000000004</v>
      </c>
      <c r="P68" s="67">
        <f t="shared" si="21"/>
        <v>34.538400000000003</v>
      </c>
      <c r="Q68" s="67">
        <f t="shared" si="21"/>
        <v>35.1</v>
      </c>
      <c r="R68" s="67">
        <f t="shared" si="21"/>
        <v>35.639999999999986</v>
      </c>
      <c r="S68" s="67">
        <f t="shared" si="21"/>
        <v>36.179999999999993</v>
      </c>
    </row>
    <row r="70" spans="1:25">
      <c r="B70" s="44" t="s">
        <v>186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25">
      <c r="B71" s="62" t="s">
        <v>2</v>
      </c>
      <c r="C71" s="63">
        <v>0.4</v>
      </c>
      <c r="D71" s="63">
        <v>0.45</v>
      </c>
      <c r="E71" s="63">
        <v>0.5</v>
      </c>
      <c r="F71" s="63">
        <v>0.55000000000000004</v>
      </c>
      <c r="G71" s="63">
        <v>0.6</v>
      </c>
      <c r="H71" s="63">
        <v>0.65</v>
      </c>
      <c r="I71" s="63">
        <v>0.7</v>
      </c>
      <c r="J71" s="63">
        <v>0.75</v>
      </c>
      <c r="K71" s="63">
        <v>0.8</v>
      </c>
      <c r="L71" s="63">
        <v>0.85</v>
      </c>
      <c r="M71" s="63">
        <v>0.9</v>
      </c>
      <c r="N71" s="63">
        <v>0.95</v>
      </c>
      <c r="O71" s="63">
        <v>1</v>
      </c>
      <c r="P71" s="63">
        <v>1.05</v>
      </c>
      <c r="Q71" s="63">
        <v>1.1000000000000001</v>
      </c>
      <c r="R71" s="63">
        <v>1.1499999999999999</v>
      </c>
      <c r="S71" s="63">
        <v>1.2</v>
      </c>
      <c r="U71" s="43"/>
    </row>
    <row r="72" spans="1:25">
      <c r="A72" s="66" t="s">
        <v>3</v>
      </c>
      <c r="B72" s="282">
        <v>1</v>
      </c>
      <c r="C72" s="65">
        <v>15.431999999999999</v>
      </c>
      <c r="D72" s="65">
        <v>15.888</v>
      </c>
      <c r="E72" s="65">
        <v>16.343999999999998</v>
      </c>
      <c r="F72" s="65">
        <v>16.8</v>
      </c>
      <c r="G72" s="65">
        <v>17.256</v>
      </c>
      <c r="H72" s="65">
        <v>17.712</v>
      </c>
      <c r="I72" s="65">
        <v>18.167999999999999</v>
      </c>
      <c r="J72" s="65">
        <v>18.623999999999999</v>
      </c>
      <c r="K72" s="65">
        <v>19.079999999999998</v>
      </c>
      <c r="L72" s="65">
        <v>19.523999999999997</v>
      </c>
      <c r="M72" s="65">
        <v>19.979999999999997</v>
      </c>
      <c r="N72" s="65">
        <v>20.436</v>
      </c>
      <c r="O72" s="65">
        <v>20.891999999999999</v>
      </c>
      <c r="P72" s="65">
        <v>21.347999999999999</v>
      </c>
      <c r="Q72" s="65">
        <v>21.804000000000002</v>
      </c>
      <c r="R72" s="65">
        <v>22.26</v>
      </c>
      <c r="S72" s="65">
        <v>22.715999999999998</v>
      </c>
      <c r="U72" s="99"/>
      <c r="V72" s="99"/>
      <c r="W72" s="99"/>
      <c r="X72" s="99"/>
      <c r="Y72" s="99"/>
    </row>
    <row r="73" spans="1:25">
      <c r="A73" s="66" t="s">
        <v>4</v>
      </c>
      <c r="B73" s="283"/>
      <c r="C73" s="67">
        <f>C72*$K$9</f>
        <v>27.7776</v>
      </c>
      <c r="D73" s="67">
        <f t="shared" ref="D73:S73" si="22">D72*$K$9</f>
        <v>28.598400000000002</v>
      </c>
      <c r="E73" s="67">
        <f t="shared" si="22"/>
        <v>29.419199999999996</v>
      </c>
      <c r="F73" s="67">
        <f t="shared" si="22"/>
        <v>30.240000000000002</v>
      </c>
      <c r="G73" s="67">
        <f t="shared" si="22"/>
        <v>31.0608</v>
      </c>
      <c r="H73" s="67">
        <f t="shared" si="22"/>
        <v>31.881599999999999</v>
      </c>
      <c r="I73" s="67">
        <f t="shared" si="22"/>
        <v>32.702399999999997</v>
      </c>
      <c r="J73" s="67">
        <f t="shared" si="22"/>
        <v>33.523199999999996</v>
      </c>
      <c r="K73" s="67">
        <f t="shared" si="22"/>
        <v>34.344000000000001</v>
      </c>
      <c r="L73" s="67">
        <f t="shared" si="22"/>
        <v>35.143199999999993</v>
      </c>
      <c r="M73" s="67">
        <f t="shared" si="22"/>
        <v>35.963999999999999</v>
      </c>
      <c r="N73" s="67">
        <f t="shared" si="22"/>
        <v>36.784800000000004</v>
      </c>
      <c r="O73" s="67">
        <f t="shared" si="22"/>
        <v>37.605600000000003</v>
      </c>
      <c r="P73" s="67">
        <f t="shared" si="22"/>
        <v>38.426400000000001</v>
      </c>
      <c r="Q73" s="67">
        <f t="shared" si="22"/>
        <v>39.247200000000007</v>
      </c>
      <c r="R73" s="67">
        <f t="shared" si="22"/>
        <v>40.068000000000005</v>
      </c>
      <c r="S73" s="67">
        <f t="shared" si="22"/>
        <v>40.888799999999996</v>
      </c>
      <c r="U73" s="99"/>
      <c r="V73" s="99"/>
      <c r="W73" s="99"/>
      <c r="X73" s="99"/>
      <c r="Y73" s="99"/>
    </row>
    <row r="74" spans="1:25">
      <c r="B74" s="282">
        <v>1.1000000000000001</v>
      </c>
      <c r="C74" s="65">
        <v>15.792</v>
      </c>
      <c r="D74" s="65">
        <v>16.247999999999998</v>
      </c>
      <c r="E74" s="65">
        <v>16.704000000000001</v>
      </c>
      <c r="F74" s="65">
        <v>17.16</v>
      </c>
      <c r="G74" s="65">
        <v>17.616</v>
      </c>
      <c r="H74" s="65">
        <v>18.071999999999999</v>
      </c>
      <c r="I74" s="65">
        <v>18.528000000000002</v>
      </c>
      <c r="J74" s="65">
        <v>18.983999999999998</v>
      </c>
      <c r="K74" s="65">
        <v>19.439999999999998</v>
      </c>
      <c r="L74" s="65">
        <v>19.884</v>
      </c>
      <c r="M74" s="65">
        <v>20.34</v>
      </c>
      <c r="N74" s="65">
        <v>20.796000000000003</v>
      </c>
      <c r="O74" s="65">
        <v>21.251999999999999</v>
      </c>
      <c r="P74" s="65">
        <v>21.707999999999998</v>
      </c>
      <c r="Q74" s="65">
        <v>22.164000000000001</v>
      </c>
      <c r="R74" s="65">
        <v>22.62</v>
      </c>
      <c r="S74" s="65">
        <v>23.076000000000001</v>
      </c>
      <c r="U74" s="99"/>
      <c r="V74" s="99"/>
      <c r="W74" s="99"/>
      <c r="X74" s="99"/>
      <c r="Y74" s="99"/>
    </row>
    <row r="75" spans="1:25">
      <c r="B75" s="283"/>
      <c r="C75" s="67">
        <f>C74*$K$9</f>
        <v>28.425599999999999</v>
      </c>
      <c r="D75" s="67">
        <f t="shared" ref="D75:S75" si="23">D74*$K$9</f>
        <v>29.246399999999998</v>
      </c>
      <c r="E75" s="67">
        <f t="shared" si="23"/>
        <v>30.067200000000003</v>
      </c>
      <c r="F75" s="67">
        <f t="shared" si="23"/>
        <v>30.888000000000002</v>
      </c>
      <c r="G75" s="67">
        <f t="shared" si="23"/>
        <v>31.7088</v>
      </c>
      <c r="H75" s="67">
        <f t="shared" si="23"/>
        <v>32.529600000000002</v>
      </c>
      <c r="I75" s="67">
        <f t="shared" si="23"/>
        <v>33.350400000000008</v>
      </c>
      <c r="J75" s="67">
        <f t="shared" si="23"/>
        <v>34.171199999999999</v>
      </c>
      <c r="K75" s="67">
        <f t="shared" si="23"/>
        <v>34.991999999999997</v>
      </c>
      <c r="L75" s="67">
        <f t="shared" si="23"/>
        <v>35.791200000000003</v>
      </c>
      <c r="M75" s="67">
        <f t="shared" si="23"/>
        <v>36.612000000000002</v>
      </c>
      <c r="N75" s="67">
        <f t="shared" si="23"/>
        <v>37.432800000000007</v>
      </c>
      <c r="O75" s="67">
        <f t="shared" si="23"/>
        <v>38.253599999999999</v>
      </c>
      <c r="P75" s="67">
        <f t="shared" si="23"/>
        <v>39.074399999999997</v>
      </c>
      <c r="Q75" s="67">
        <f t="shared" si="23"/>
        <v>39.895200000000003</v>
      </c>
      <c r="R75" s="67">
        <f t="shared" si="23"/>
        <v>40.716000000000001</v>
      </c>
      <c r="S75" s="67">
        <f t="shared" si="23"/>
        <v>41.536799999999999</v>
      </c>
    </row>
    <row r="76" spans="1:25">
      <c r="B76" s="282">
        <v>1.2</v>
      </c>
      <c r="C76" s="65">
        <v>16.152000000000001</v>
      </c>
      <c r="D76" s="65">
        <v>16.608000000000001</v>
      </c>
      <c r="E76" s="65">
        <v>17.064</v>
      </c>
      <c r="F76" s="65">
        <v>17.52</v>
      </c>
      <c r="G76" s="65">
        <v>17.976000000000003</v>
      </c>
      <c r="H76" s="65">
        <v>18.432000000000002</v>
      </c>
      <c r="I76" s="65">
        <v>18.888000000000002</v>
      </c>
      <c r="J76" s="65">
        <v>19.344000000000001</v>
      </c>
      <c r="K76" s="65">
        <v>19.8</v>
      </c>
      <c r="L76" s="65">
        <v>20.244</v>
      </c>
      <c r="M76" s="65">
        <v>20.7</v>
      </c>
      <c r="N76" s="65">
        <v>21.156000000000002</v>
      </c>
      <c r="O76" s="65">
        <v>21.612000000000002</v>
      </c>
      <c r="P76" s="65">
        <v>22.068000000000001</v>
      </c>
      <c r="Q76" s="65">
        <v>22.524000000000004</v>
      </c>
      <c r="R76" s="65">
        <v>22.98</v>
      </c>
      <c r="S76" s="65">
        <v>23.436</v>
      </c>
      <c r="V76" s="68"/>
    </row>
    <row r="77" spans="1:25">
      <c r="B77" s="283"/>
      <c r="C77" s="67">
        <f>C76*$K$9</f>
        <v>29.073600000000003</v>
      </c>
      <c r="D77" s="67">
        <f t="shared" ref="D77:S77" si="24">D76*$K$9</f>
        <v>29.894400000000001</v>
      </c>
      <c r="E77" s="67">
        <f t="shared" si="24"/>
        <v>30.715199999999999</v>
      </c>
      <c r="F77" s="67">
        <f t="shared" si="24"/>
        <v>31.536000000000001</v>
      </c>
      <c r="G77" s="67">
        <f t="shared" si="24"/>
        <v>32.356800000000007</v>
      </c>
      <c r="H77" s="67">
        <f t="shared" si="24"/>
        <v>33.177600000000005</v>
      </c>
      <c r="I77" s="67">
        <f t="shared" si="24"/>
        <v>33.998400000000004</v>
      </c>
      <c r="J77" s="67">
        <f t="shared" si="24"/>
        <v>34.819200000000002</v>
      </c>
      <c r="K77" s="67">
        <f t="shared" si="24"/>
        <v>35.64</v>
      </c>
      <c r="L77" s="67">
        <f t="shared" si="24"/>
        <v>36.4392</v>
      </c>
      <c r="M77" s="67">
        <f t="shared" si="24"/>
        <v>37.26</v>
      </c>
      <c r="N77" s="67">
        <f t="shared" si="24"/>
        <v>38.080800000000004</v>
      </c>
      <c r="O77" s="67">
        <f t="shared" si="24"/>
        <v>38.901600000000002</v>
      </c>
      <c r="P77" s="67">
        <f t="shared" si="24"/>
        <v>39.7224</v>
      </c>
      <c r="Q77" s="67">
        <f t="shared" si="24"/>
        <v>40.543200000000006</v>
      </c>
      <c r="R77" s="67">
        <f t="shared" si="24"/>
        <v>41.364000000000004</v>
      </c>
      <c r="S77" s="67">
        <f t="shared" si="24"/>
        <v>42.184800000000003</v>
      </c>
    </row>
    <row r="78" spans="1:25">
      <c r="B78" s="282">
        <v>1.3</v>
      </c>
      <c r="C78" s="65">
        <v>16.512</v>
      </c>
      <c r="D78" s="65">
        <v>16.968</v>
      </c>
      <c r="E78" s="65">
        <v>17.423999999999999</v>
      </c>
      <c r="F78" s="65">
        <v>17.880000000000003</v>
      </c>
      <c r="G78" s="65">
        <v>18.336000000000002</v>
      </c>
      <c r="H78" s="65">
        <v>18.792000000000002</v>
      </c>
      <c r="I78" s="65">
        <v>19.248000000000001</v>
      </c>
      <c r="J78" s="65">
        <v>19.704000000000001</v>
      </c>
      <c r="K78" s="65">
        <v>20.16</v>
      </c>
      <c r="L78" s="65">
        <v>20.604000000000003</v>
      </c>
      <c r="M78" s="65">
        <v>21.06</v>
      </c>
      <c r="N78" s="65">
        <v>21.516000000000002</v>
      </c>
      <c r="O78" s="65">
        <v>21.972000000000001</v>
      </c>
      <c r="P78" s="65">
        <v>22.428000000000001</v>
      </c>
      <c r="Q78" s="65">
        <v>22.884000000000004</v>
      </c>
      <c r="R78" s="65">
        <v>23.340000000000003</v>
      </c>
      <c r="S78" s="65">
        <v>23.796000000000003</v>
      </c>
      <c r="V78" s="68"/>
    </row>
    <row r="79" spans="1:25">
      <c r="B79" s="283"/>
      <c r="C79" s="67">
        <f>C78*$K$9</f>
        <v>29.721600000000002</v>
      </c>
      <c r="D79" s="67">
        <f t="shared" ref="D79:S79" si="25">D78*$K$9</f>
        <v>30.542400000000001</v>
      </c>
      <c r="E79" s="67">
        <f t="shared" si="25"/>
        <v>31.363199999999999</v>
      </c>
      <c r="F79" s="67">
        <f t="shared" si="25"/>
        <v>32.184000000000005</v>
      </c>
      <c r="G79" s="67">
        <f t="shared" si="25"/>
        <v>33.004800000000003</v>
      </c>
      <c r="H79" s="67">
        <f t="shared" si="25"/>
        <v>33.825600000000001</v>
      </c>
      <c r="I79" s="67">
        <f t="shared" si="25"/>
        <v>34.6464</v>
      </c>
      <c r="J79" s="67">
        <f t="shared" si="25"/>
        <v>35.467200000000005</v>
      </c>
      <c r="K79" s="67">
        <f t="shared" si="25"/>
        <v>36.288000000000004</v>
      </c>
      <c r="L79" s="67">
        <f t="shared" si="25"/>
        <v>37.087200000000003</v>
      </c>
      <c r="M79" s="67">
        <f t="shared" si="25"/>
        <v>37.908000000000001</v>
      </c>
      <c r="N79" s="67">
        <f t="shared" si="25"/>
        <v>38.728800000000007</v>
      </c>
      <c r="O79" s="67">
        <f t="shared" si="25"/>
        <v>39.549600000000005</v>
      </c>
      <c r="P79" s="67">
        <f t="shared" si="25"/>
        <v>40.370400000000004</v>
      </c>
      <c r="Q79" s="67">
        <f t="shared" si="25"/>
        <v>41.191200000000009</v>
      </c>
      <c r="R79" s="67">
        <f t="shared" si="25"/>
        <v>42.012000000000008</v>
      </c>
      <c r="S79" s="67">
        <f t="shared" si="25"/>
        <v>42.832800000000006</v>
      </c>
    </row>
    <row r="80" spans="1:25">
      <c r="B80" s="282">
        <v>1.4</v>
      </c>
      <c r="C80" s="65">
        <v>16.872</v>
      </c>
      <c r="D80" s="65">
        <v>17.327999999999999</v>
      </c>
      <c r="E80" s="65">
        <v>17.784000000000002</v>
      </c>
      <c r="F80" s="65">
        <v>18.240000000000002</v>
      </c>
      <c r="G80" s="65">
        <v>18.696000000000005</v>
      </c>
      <c r="H80" s="65">
        <v>19.152000000000001</v>
      </c>
      <c r="I80" s="65">
        <v>19.608000000000004</v>
      </c>
      <c r="J80" s="65">
        <v>20.064000000000004</v>
      </c>
      <c r="K80" s="65">
        <v>20.52</v>
      </c>
      <c r="L80" s="65">
        <v>20.964000000000002</v>
      </c>
      <c r="M80" s="65">
        <v>21.42</v>
      </c>
      <c r="N80" s="65">
        <v>21.876000000000005</v>
      </c>
      <c r="O80" s="65">
        <v>22.332000000000004</v>
      </c>
      <c r="P80" s="65">
        <v>22.788</v>
      </c>
      <c r="Q80" s="65">
        <v>23.244000000000003</v>
      </c>
      <c r="R80" s="65">
        <v>23.700000000000003</v>
      </c>
      <c r="S80" s="65">
        <v>24.156000000000002</v>
      </c>
      <c r="V80" s="68"/>
    </row>
    <row r="81" spans="1:22">
      <c r="B81" s="283"/>
      <c r="C81" s="67">
        <f>C80*$K$9</f>
        <v>30.369600000000002</v>
      </c>
      <c r="D81" s="67">
        <f t="shared" ref="D81:S81" si="26">D80*$K$9</f>
        <v>31.1904</v>
      </c>
      <c r="E81" s="67">
        <f t="shared" si="26"/>
        <v>32.011200000000002</v>
      </c>
      <c r="F81" s="67">
        <f t="shared" si="26"/>
        <v>32.832000000000008</v>
      </c>
      <c r="G81" s="67">
        <f t="shared" si="26"/>
        <v>33.652800000000013</v>
      </c>
      <c r="H81" s="67">
        <f t="shared" si="26"/>
        <v>34.473600000000005</v>
      </c>
      <c r="I81" s="67">
        <f t="shared" si="26"/>
        <v>35.29440000000001</v>
      </c>
      <c r="J81" s="67">
        <f t="shared" si="26"/>
        <v>36.115200000000009</v>
      </c>
      <c r="K81" s="67">
        <f t="shared" si="26"/>
        <v>36.936</v>
      </c>
      <c r="L81" s="67">
        <f t="shared" si="26"/>
        <v>37.735200000000006</v>
      </c>
      <c r="M81" s="67">
        <f t="shared" si="26"/>
        <v>38.556000000000004</v>
      </c>
      <c r="N81" s="67">
        <f t="shared" si="26"/>
        <v>39.37680000000001</v>
      </c>
      <c r="O81" s="67">
        <f t="shared" si="26"/>
        <v>40.197600000000008</v>
      </c>
      <c r="P81" s="67">
        <f t="shared" si="26"/>
        <v>41.0184</v>
      </c>
      <c r="Q81" s="67">
        <f t="shared" si="26"/>
        <v>41.839200000000005</v>
      </c>
      <c r="R81" s="67">
        <f t="shared" si="26"/>
        <v>42.660000000000004</v>
      </c>
      <c r="S81" s="67">
        <f t="shared" si="26"/>
        <v>43.480800000000002</v>
      </c>
    </row>
    <row r="82" spans="1:22">
      <c r="B82" s="282">
        <v>1.5</v>
      </c>
      <c r="C82" s="65">
        <v>17.231999999999999</v>
      </c>
      <c r="D82" s="65">
        <v>17.687999999999999</v>
      </c>
      <c r="E82" s="65">
        <v>18.144000000000002</v>
      </c>
      <c r="F82" s="65">
        <v>18.600000000000005</v>
      </c>
      <c r="G82" s="65">
        <v>19.056000000000004</v>
      </c>
      <c r="H82" s="65">
        <v>19.512</v>
      </c>
      <c r="I82" s="65">
        <v>19.968000000000004</v>
      </c>
      <c r="J82" s="65">
        <v>20.424000000000003</v>
      </c>
      <c r="K82" s="65">
        <v>20.880000000000003</v>
      </c>
      <c r="L82" s="65">
        <v>21.324000000000002</v>
      </c>
      <c r="M82" s="65">
        <v>21.78</v>
      </c>
      <c r="N82" s="65">
        <v>22.236000000000004</v>
      </c>
      <c r="O82" s="65">
        <v>22.692000000000004</v>
      </c>
      <c r="P82" s="65">
        <v>23.148000000000003</v>
      </c>
      <c r="Q82" s="65">
        <v>23.604000000000006</v>
      </c>
      <c r="R82" s="65">
        <v>24.060000000000006</v>
      </c>
      <c r="S82" s="65">
        <v>24.516000000000002</v>
      </c>
      <c r="V82" s="68"/>
    </row>
    <row r="83" spans="1:22">
      <c r="B83" s="283"/>
      <c r="C83" s="67">
        <f>C82*$K$9</f>
        <v>31.017599999999998</v>
      </c>
      <c r="D83" s="67">
        <f t="shared" ref="D83:S83" si="27">D82*$K$9</f>
        <v>31.8384</v>
      </c>
      <c r="E83" s="67">
        <f t="shared" si="27"/>
        <v>32.659200000000006</v>
      </c>
      <c r="F83" s="67">
        <f t="shared" si="27"/>
        <v>33.480000000000011</v>
      </c>
      <c r="G83" s="67">
        <f t="shared" si="27"/>
        <v>34.30080000000001</v>
      </c>
      <c r="H83" s="67">
        <f t="shared" si="27"/>
        <v>35.121600000000001</v>
      </c>
      <c r="I83" s="67">
        <f t="shared" si="27"/>
        <v>35.942400000000006</v>
      </c>
      <c r="J83" s="67">
        <f t="shared" si="27"/>
        <v>36.763200000000005</v>
      </c>
      <c r="K83" s="67">
        <f t="shared" si="27"/>
        <v>37.584000000000003</v>
      </c>
      <c r="L83" s="67">
        <f t="shared" si="27"/>
        <v>38.383200000000002</v>
      </c>
      <c r="M83" s="67">
        <f t="shared" si="27"/>
        <v>39.204000000000001</v>
      </c>
      <c r="N83" s="67">
        <f t="shared" si="27"/>
        <v>40.024800000000006</v>
      </c>
      <c r="O83" s="67">
        <f t="shared" si="27"/>
        <v>40.845600000000005</v>
      </c>
      <c r="P83" s="67">
        <f t="shared" si="27"/>
        <v>41.66640000000001</v>
      </c>
      <c r="Q83" s="67">
        <f t="shared" si="27"/>
        <v>42.487200000000016</v>
      </c>
      <c r="R83" s="67">
        <f t="shared" si="27"/>
        <v>43.308000000000014</v>
      </c>
      <c r="S83" s="67">
        <f t="shared" si="27"/>
        <v>44.128800000000005</v>
      </c>
    </row>
    <row r="84" spans="1:22">
      <c r="B84" s="282">
        <v>1.6</v>
      </c>
      <c r="C84" s="65">
        <v>17.591999999999999</v>
      </c>
      <c r="D84" s="65">
        <v>18.047999999999998</v>
      </c>
      <c r="E84" s="65">
        <v>18.504000000000005</v>
      </c>
      <c r="F84" s="65">
        <v>18.960000000000004</v>
      </c>
      <c r="G84" s="65">
        <v>19.416000000000004</v>
      </c>
      <c r="H84" s="65">
        <v>19.872000000000003</v>
      </c>
      <c r="I84" s="65">
        <v>20.328000000000007</v>
      </c>
      <c r="J84" s="65">
        <v>20.784000000000002</v>
      </c>
      <c r="K84" s="65">
        <v>21.240000000000002</v>
      </c>
      <c r="L84" s="65">
        <v>21.684000000000005</v>
      </c>
      <c r="M84" s="65">
        <v>22.140000000000004</v>
      </c>
      <c r="N84" s="65">
        <v>22.596000000000007</v>
      </c>
      <c r="O84" s="65">
        <v>23.052000000000003</v>
      </c>
      <c r="P84" s="65">
        <v>23.508000000000003</v>
      </c>
      <c r="Q84" s="65">
        <v>23.964000000000006</v>
      </c>
      <c r="R84" s="65">
        <v>24.420000000000005</v>
      </c>
      <c r="S84" s="65">
        <v>24.876000000000005</v>
      </c>
      <c r="V84" s="68"/>
    </row>
    <row r="85" spans="1:22">
      <c r="B85" s="283"/>
      <c r="C85" s="67">
        <f>C84*$K$9</f>
        <v>31.665599999999998</v>
      </c>
      <c r="D85" s="67">
        <f t="shared" ref="D85:S85" si="28">D84*$K$9</f>
        <v>32.486399999999996</v>
      </c>
      <c r="E85" s="67">
        <f t="shared" si="28"/>
        <v>33.307200000000009</v>
      </c>
      <c r="F85" s="67">
        <f t="shared" si="28"/>
        <v>34.128000000000007</v>
      </c>
      <c r="G85" s="67">
        <f t="shared" si="28"/>
        <v>34.948800000000006</v>
      </c>
      <c r="H85" s="67">
        <f t="shared" si="28"/>
        <v>35.769600000000004</v>
      </c>
      <c r="I85" s="67">
        <f t="shared" si="28"/>
        <v>36.59040000000001</v>
      </c>
      <c r="J85" s="67">
        <f t="shared" si="28"/>
        <v>37.411200000000008</v>
      </c>
      <c r="K85" s="67">
        <f t="shared" si="28"/>
        <v>38.232000000000006</v>
      </c>
      <c r="L85" s="67">
        <f t="shared" si="28"/>
        <v>39.031200000000013</v>
      </c>
      <c r="M85" s="67">
        <f t="shared" si="28"/>
        <v>39.852000000000011</v>
      </c>
      <c r="N85" s="67">
        <f t="shared" si="28"/>
        <v>40.672800000000016</v>
      </c>
      <c r="O85" s="67">
        <f t="shared" si="28"/>
        <v>41.493600000000008</v>
      </c>
      <c r="P85" s="67">
        <f t="shared" si="28"/>
        <v>42.314400000000006</v>
      </c>
      <c r="Q85" s="67">
        <f t="shared" si="28"/>
        <v>43.135200000000012</v>
      </c>
      <c r="R85" s="67">
        <f t="shared" si="28"/>
        <v>43.95600000000001</v>
      </c>
      <c r="S85" s="67">
        <f t="shared" si="28"/>
        <v>44.776800000000009</v>
      </c>
    </row>
    <row r="86" spans="1:22">
      <c r="B86" s="282">
        <v>1.7</v>
      </c>
      <c r="C86" s="65">
        <v>17.952000000000002</v>
      </c>
      <c r="D86" s="65">
        <v>18.396000000000001</v>
      </c>
      <c r="E86" s="65">
        <v>18.864000000000004</v>
      </c>
      <c r="F86" s="65">
        <v>19.320000000000004</v>
      </c>
      <c r="G86" s="65">
        <v>19.776000000000003</v>
      </c>
      <c r="H86" s="65">
        <v>20.232000000000003</v>
      </c>
      <c r="I86" s="65">
        <v>20.688000000000006</v>
      </c>
      <c r="J86" s="65">
        <v>21.144000000000005</v>
      </c>
      <c r="K86" s="65">
        <v>21.600000000000005</v>
      </c>
      <c r="L86" s="65">
        <v>22.044000000000004</v>
      </c>
      <c r="M86" s="65">
        <v>22.500000000000004</v>
      </c>
      <c r="N86" s="65">
        <v>22.956000000000007</v>
      </c>
      <c r="O86" s="65">
        <v>23.412000000000006</v>
      </c>
      <c r="P86" s="65">
        <v>23.868000000000006</v>
      </c>
      <c r="Q86" s="65">
        <v>24.324000000000009</v>
      </c>
      <c r="R86" s="65">
        <v>24.780000000000005</v>
      </c>
      <c r="S86" s="65">
        <v>25.236000000000004</v>
      </c>
      <c r="V86" s="68"/>
    </row>
    <row r="87" spans="1:22">
      <c r="B87" s="283"/>
      <c r="C87" s="67">
        <f>C86*$K$9</f>
        <v>32.313600000000001</v>
      </c>
      <c r="D87" s="67">
        <f t="shared" ref="D87:S87" si="29">D86*$K$9</f>
        <v>33.1128</v>
      </c>
      <c r="E87" s="67">
        <f t="shared" si="29"/>
        <v>33.955200000000012</v>
      </c>
      <c r="F87" s="67">
        <f t="shared" si="29"/>
        <v>34.77600000000001</v>
      </c>
      <c r="G87" s="67">
        <f t="shared" si="29"/>
        <v>35.596800000000009</v>
      </c>
      <c r="H87" s="67">
        <f t="shared" si="29"/>
        <v>36.417600000000007</v>
      </c>
      <c r="I87" s="67">
        <f t="shared" si="29"/>
        <v>37.238400000000013</v>
      </c>
      <c r="J87" s="67">
        <f t="shared" si="29"/>
        <v>38.059200000000011</v>
      </c>
      <c r="K87" s="67">
        <f t="shared" si="29"/>
        <v>38.88000000000001</v>
      </c>
      <c r="L87" s="67">
        <f t="shared" si="29"/>
        <v>39.679200000000009</v>
      </c>
      <c r="M87" s="67">
        <f t="shared" si="29"/>
        <v>40.500000000000007</v>
      </c>
      <c r="N87" s="67">
        <f t="shared" si="29"/>
        <v>41.320800000000013</v>
      </c>
      <c r="O87" s="67">
        <f t="shared" si="29"/>
        <v>42.141600000000011</v>
      </c>
      <c r="P87" s="67">
        <f t="shared" si="29"/>
        <v>42.962400000000009</v>
      </c>
      <c r="Q87" s="67">
        <f t="shared" si="29"/>
        <v>43.783200000000015</v>
      </c>
      <c r="R87" s="67">
        <f t="shared" si="29"/>
        <v>44.604000000000006</v>
      </c>
      <c r="S87" s="67">
        <f t="shared" si="29"/>
        <v>45.424800000000012</v>
      </c>
    </row>
    <row r="88" spans="1:22">
      <c r="B88" s="282">
        <v>1.8</v>
      </c>
      <c r="C88" s="65">
        <v>18.3</v>
      </c>
      <c r="D88" s="65">
        <v>18.756</v>
      </c>
      <c r="E88" s="65">
        <v>19.224000000000004</v>
      </c>
      <c r="F88" s="65">
        <v>19.680000000000007</v>
      </c>
      <c r="G88" s="65">
        <v>20.136000000000006</v>
      </c>
      <c r="H88" s="65">
        <v>20.592000000000002</v>
      </c>
      <c r="I88" s="65">
        <v>21.048000000000005</v>
      </c>
      <c r="J88" s="65">
        <v>21.504000000000005</v>
      </c>
      <c r="K88" s="65">
        <v>21.960000000000004</v>
      </c>
      <c r="L88" s="65">
        <v>22.404000000000007</v>
      </c>
      <c r="M88" s="65">
        <v>22.860000000000003</v>
      </c>
      <c r="N88" s="65">
        <v>23.316000000000006</v>
      </c>
      <c r="O88" s="65">
        <v>23.772000000000006</v>
      </c>
      <c r="P88" s="65">
        <v>24.228000000000005</v>
      </c>
      <c r="Q88" s="65">
        <v>24.684000000000008</v>
      </c>
      <c r="R88" s="65">
        <v>25.140000000000008</v>
      </c>
      <c r="S88" s="65">
        <v>25.596000000000007</v>
      </c>
      <c r="V88" s="68"/>
    </row>
    <row r="89" spans="1:22">
      <c r="B89" s="283"/>
      <c r="C89" s="67">
        <f>C88*$K$9</f>
        <v>32.940000000000005</v>
      </c>
      <c r="D89" s="67">
        <f t="shared" ref="D89:S89" si="30">D88*$K$9</f>
        <v>33.760800000000003</v>
      </c>
      <c r="E89" s="67">
        <f t="shared" si="30"/>
        <v>34.603200000000008</v>
      </c>
      <c r="F89" s="67">
        <f t="shared" si="30"/>
        <v>35.424000000000014</v>
      </c>
      <c r="G89" s="67">
        <f t="shared" si="30"/>
        <v>36.244800000000012</v>
      </c>
      <c r="H89" s="67">
        <f t="shared" si="30"/>
        <v>37.065600000000003</v>
      </c>
      <c r="I89" s="67">
        <f t="shared" si="30"/>
        <v>37.886400000000009</v>
      </c>
      <c r="J89" s="67">
        <f t="shared" si="30"/>
        <v>38.707200000000007</v>
      </c>
      <c r="K89" s="67">
        <f t="shared" si="30"/>
        <v>39.528000000000006</v>
      </c>
      <c r="L89" s="67">
        <f t="shared" si="30"/>
        <v>40.327200000000012</v>
      </c>
      <c r="M89" s="67">
        <f t="shared" si="30"/>
        <v>41.148000000000003</v>
      </c>
      <c r="N89" s="67">
        <f t="shared" si="30"/>
        <v>41.968800000000009</v>
      </c>
      <c r="O89" s="67">
        <f t="shared" si="30"/>
        <v>42.789600000000014</v>
      </c>
      <c r="P89" s="67">
        <f t="shared" si="30"/>
        <v>43.610400000000013</v>
      </c>
      <c r="Q89" s="67">
        <f t="shared" si="30"/>
        <v>44.431200000000018</v>
      </c>
      <c r="R89" s="67">
        <f t="shared" si="30"/>
        <v>45.252000000000017</v>
      </c>
      <c r="S89" s="67">
        <f t="shared" si="30"/>
        <v>46.072800000000015</v>
      </c>
    </row>
    <row r="91" spans="1:22">
      <c r="B91" s="44" t="s">
        <v>187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22">
      <c r="B92" s="62" t="s">
        <v>2</v>
      </c>
      <c r="C92" s="63">
        <v>0.4</v>
      </c>
      <c r="D92" s="63">
        <v>0.45</v>
      </c>
      <c r="E92" s="63">
        <v>0.5</v>
      </c>
      <c r="F92" s="63">
        <v>0.55000000000000004</v>
      </c>
      <c r="G92" s="63">
        <v>0.6</v>
      </c>
      <c r="H92" s="63">
        <v>0.65</v>
      </c>
      <c r="I92" s="63">
        <v>0.7</v>
      </c>
      <c r="J92" s="63">
        <v>0.75</v>
      </c>
      <c r="K92" s="63">
        <v>0.8</v>
      </c>
      <c r="L92" s="63">
        <v>0.85</v>
      </c>
      <c r="M92" s="63">
        <v>0.9</v>
      </c>
      <c r="O92" s="43"/>
    </row>
    <row r="93" spans="1:22">
      <c r="A93" s="66" t="s">
        <v>3</v>
      </c>
      <c r="B93" s="282">
        <v>1</v>
      </c>
      <c r="C93" s="65">
        <v>30.839999999999996</v>
      </c>
      <c r="D93" s="65">
        <v>31.5</v>
      </c>
      <c r="E93" s="65">
        <v>34.547999999999995</v>
      </c>
      <c r="F93" s="65">
        <v>32.795999999999999</v>
      </c>
      <c r="G93" s="65">
        <v>33.455999999999996</v>
      </c>
      <c r="H93" s="65">
        <v>34.103999999999999</v>
      </c>
      <c r="I93" s="65">
        <v>34.752000000000002</v>
      </c>
      <c r="J93" s="65">
        <v>35.411999999999999</v>
      </c>
      <c r="K93" s="65">
        <v>36.06</v>
      </c>
      <c r="L93" s="65">
        <v>36.72</v>
      </c>
      <c r="M93" s="65">
        <v>37.368000000000002</v>
      </c>
      <c r="O93" s="99"/>
      <c r="P93" s="99"/>
      <c r="Q93" s="99"/>
      <c r="R93" s="99"/>
      <c r="S93" s="99"/>
    </row>
    <row r="94" spans="1:22">
      <c r="A94" s="66" t="s">
        <v>4</v>
      </c>
      <c r="B94" s="283"/>
      <c r="C94" s="67">
        <f>C93*$K$9</f>
        <v>55.511999999999993</v>
      </c>
      <c r="D94" s="67">
        <f t="shared" ref="D94:M94" si="31">D93*$K$9</f>
        <v>56.7</v>
      </c>
      <c r="E94" s="67">
        <f t="shared" si="31"/>
        <v>62.186399999999992</v>
      </c>
      <c r="F94" s="67">
        <f t="shared" si="31"/>
        <v>59.032800000000002</v>
      </c>
      <c r="G94" s="67">
        <f t="shared" si="31"/>
        <v>60.220799999999997</v>
      </c>
      <c r="H94" s="67">
        <f t="shared" si="31"/>
        <v>61.3872</v>
      </c>
      <c r="I94" s="67">
        <f t="shared" si="31"/>
        <v>62.553600000000003</v>
      </c>
      <c r="J94" s="67">
        <f t="shared" si="31"/>
        <v>63.741599999999998</v>
      </c>
      <c r="K94" s="67">
        <f t="shared" si="31"/>
        <v>64.908000000000001</v>
      </c>
      <c r="L94" s="67">
        <f t="shared" si="31"/>
        <v>66.096000000000004</v>
      </c>
      <c r="M94" s="67">
        <f t="shared" si="31"/>
        <v>67.2624</v>
      </c>
      <c r="O94" s="99"/>
      <c r="P94" s="99"/>
      <c r="Q94" s="99"/>
      <c r="R94" s="99"/>
      <c r="S94" s="99"/>
    </row>
    <row r="95" spans="1:22">
      <c r="B95" s="282">
        <v>1.1000000000000001</v>
      </c>
      <c r="C95" s="65">
        <v>31.439999999999998</v>
      </c>
      <c r="D95" s="65">
        <v>32.087999999999994</v>
      </c>
      <c r="E95" s="65">
        <v>35.147999999999996</v>
      </c>
      <c r="F95" s="65">
        <v>33.395999999999994</v>
      </c>
      <c r="G95" s="65">
        <v>34.055999999999997</v>
      </c>
      <c r="H95" s="65">
        <v>34.704000000000001</v>
      </c>
      <c r="I95" s="65">
        <v>35.351999999999997</v>
      </c>
      <c r="J95" s="65">
        <v>36.012</v>
      </c>
      <c r="K95" s="65">
        <v>36.659999999999997</v>
      </c>
      <c r="L95" s="65">
        <v>37.32</v>
      </c>
      <c r="M95" s="65">
        <v>37.967999999999996</v>
      </c>
      <c r="O95" s="99"/>
      <c r="P95" s="99"/>
      <c r="Q95" s="99"/>
      <c r="R95" s="99"/>
      <c r="S95" s="99"/>
    </row>
    <row r="96" spans="1:22">
      <c r="B96" s="283"/>
      <c r="C96" s="67">
        <f>C95*$K$9</f>
        <v>56.591999999999999</v>
      </c>
      <c r="D96" s="67">
        <f t="shared" ref="D96:M96" si="32">D95*$K$9</f>
        <v>57.758399999999988</v>
      </c>
      <c r="E96" s="67">
        <f t="shared" si="32"/>
        <v>63.266399999999997</v>
      </c>
      <c r="F96" s="67">
        <f t="shared" si="32"/>
        <v>60.112799999999993</v>
      </c>
      <c r="G96" s="67">
        <f t="shared" si="32"/>
        <v>61.300799999999995</v>
      </c>
      <c r="H96" s="67">
        <f t="shared" si="32"/>
        <v>62.467200000000005</v>
      </c>
      <c r="I96" s="67">
        <f t="shared" si="32"/>
        <v>63.633599999999994</v>
      </c>
      <c r="J96" s="67">
        <f t="shared" si="32"/>
        <v>64.821600000000004</v>
      </c>
      <c r="K96" s="67">
        <f t="shared" si="32"/>
        <v>65.988</v>
      </c>
      <c r="L96" s="67">
        <f t="shared" si="32"/>
        <v>67.176000000000002</v>
      </c>
      <c r="M96" s="67">
        <f t="shared" si="32"/>
        <v>68.342399999999998</v>
      </c>
    </row>
    <row r="97" spans="2:23">
      <c r="B97" s="282">
        <v>1.2</v>
      </c>
      <c r="C97" s="65">
        <v>32.027999999999999</v>
      </c>
      <c r="D97" s="65">
        <v>32.687999999999995</v>
      </c>
      <c r="E97" s="65">
        <v>35.747999999999998</v>
      </c>
      <c r="F97" s="65">
        <v>33.995999999999995</v>
      </c>
      <c r="G97" s="65">
        <v>34.655999999999999</v>
      </c>
      <c r="H97" s="65">
        <v>35.304000000000002</v>
      </c>
      <c r="I97" s="65">
        <v>35.951999999999998</v>
      </c>
      <c r="J97" s="65">
        <v>36.612000000000002</v>
      </c>
      <c r="K97" s="65">
        <v>37.26</v>
      </c>
      <c r="L97" s="65">
        <v>37.92</v>
      </c>
      <c r="M97" s="65">
        <v>38.567999999999998</v>
      </c>
      <c r="P97" s="68"/>
    </row>
    <row r="98" spans="2:23">
      <c r="B98" s="283"/>
      <c r="C98" s="67">
        <f>C97*$K$9</f>
        <v>57.650399999999998</v>
      </c>
      <c r="D98" s="67">
        <f t="shared" ref="D98:M98" si="33">D97*$K$9</f>
        <v>58.838399999999993</v>
      </c>
      <c r="E98" s="67">
        <f t="shared" si="33"/>
        <v>64.346400000000003</v>
      </c>
      <c r="F98" s="67">
        <f t="shared" si="33"/>
        <v>61.192799999999991</v>
      </c>
      <c r="G98" s="67">
        <f t="shared" si="33"/>
        <v>62.380800000000001</v>
      </c>
      <c r="H98" s="67">
        <f t="shared" si="33"/>
        <v>63.547200000000004</v>
      </c>
      <c r="I98" s="67">
        <f t="shared" si="33"/>
        <v>64.7136</v>
      </c>
      <c r="J98" s="67">
        <f t="shared" si="33"/>
        <v>65.901600000000002</v>
      </c>
      <c r="K98" s="67">
        <f t="shared" si="33"/>
        <v>67.067999999999998</v>
      </c>
      <c r="L98" s="67">
        <f t="shared" si="33"/>
        <v>68.256</v>
      </c>
      <c r="M98" s="67">
        <f t="shared" si="33"/>
        <v>69.422399999999996</v>
      </c>
    </row>
    <row r="99" spans="2:23">
      <c r="B99" s="282">
        <v>1.3</v>
      </c>
      <c r="C99" s="65">
        <v>32.628</v>
      </c>
      <c r="D99" s="65">
        <v>33.275999999999996</v>
      </c>
      <c r="E99" s="65">
        <v>36.347999999999999</v>
      </c>
      <c r="F99" s="65">
        <v>34.595999999999997</v>
      </c>
      <c r="G99" s="65">
        <v>35.256</v>
      </c>
      <c r="H99" s="65">
        <v>35.904000000000003</v>
      </c>
      <c r="I99" s="65">
        <v>36.552</v>
      </c>
      <c r="J99" s="65">
        <v>37.212000000000003</v>
      </c>
      <c r="K99" s="65">
        <v>37.86</v>
      </c>
      <c r="L99" s="65">
        <v>38.520000000000003</v>
      </c>
      <c r="M99" s="65">
        <v>39.167999999999999</v>
      </c>
      <c r="P99" s="68"/>
    </row>
    <row r="100" spans="2:23">
      <c r="B100" s="283"/>
      <c r="C100" s="67">
        <f>C99*$K$9</f>
        <v>58.730400000000003</v>
      </c>
      <c r="D100" s="67">
        <f t="shared" ref="D100:M100" si="34">D99*$K$9</f>
        <v>59.896799999999992</v>
      </c>
      <c r="E100" s="67">
        <f t="shared" si="34"/>
        <v>65.426400000000001</v>
      </c>
      <c r="F100" s="67">
        <f t="shared" si="34"/>
        <v>62.272799999999997</v>
      </c>
      <c r="G100" s="67">
        <f t="shared" si="34"/>
        <v>63.460799999999999</v>
      </c>
      <c r="H100" s="67">
        <f t="shared" si="34"/>
        <v>64.627200000000002</v>
      </c>
      <c r="I100" s="67">
        <f t="shared" si="34"/>
        <v>65.793599999999998</v>
      </c>
      <c r="J100" s="67">
        <f t="shared" si="34"/>
        <v>66.981600000000014</v>
      </c>
      <c r="K100" s="67">
        <f t="shared" si="34"/>
        <v>68.147999999999996</v>
      </c>
      <c r="L100" s="67">
        <f t="shared" si="34"/>
        <v>69.336000000000013</v>
      </c>
      <c r="M100" s="67">
        <f t="shared" si="34"/>
        <v>70.502399999999994</v>
      </c>
    </row>
    <row r="101" spans="2:23">
      <c r="B101" s="282">
        <v>1.4</v>
      </c>
      <c r="C101" s="65">
        <v>33.228000000000002</v>
      </c>
      <c r="D101" s="65">
        <v>32.676000000000002</v>
      </c>
      <c r="E101" s="65">
        <v>36.948</v>
      </c>
      <c r="F101" s="65">
        <v>35.195999999999998</v>
      </c>
      <c r="G101" s="65">
        <v>35.855999999999995</v>
      </c>
      <c r="H101" s="65">
        <v>36.503999999999998</v>
      </c>
      <c r="I101" s="65">
        <v>37.152000000000001</v>
      </c>
      <c r="J101" s="65">
        <v>37.811999999999998</v>
      </c>
      <c r="K101" s="65">
        <v>38.459999999999994</v>
      </c>
      <c r="L101" s="65">
        <v>39.119999999999997</v>
      </c>
      <c r="M101" s="65">
        <v>39.768000000000001</v>
      </c>
      <c r="P101" s="68"/>
    </row>
    <row r="102" spans="2:23">
      <c r="B102" s="283"/>
      <c r="C102" s="67">
        <f>C101*$K$9</f>
        <v>59.810400000000001</v>
      </c>
      <c r="D102" s="67">
        <f t="shared" ref="D102:M102" si="35">D101*$K$9</f>
        <v>58.816800000000008</v>
      </c>
      <c r="E102" s="67">
        <f t="shared" si="35"/>
        <v>66.506399999999999</v>
      </c>
      <c r="F102" s="67">
        <f t="shared" si="35"/>
        <v>63.352799999999995</v>
      </c>
      <c r="G102" s="67">
        <f t="shared" si="35"/>
        <v>64.54079999999999</v>
      </c>
      <c r="H102" s="67">
        <f t="shared" si="35"/>
        <v>65.7072</v>
      </c>
      <c r="I102" s="67">
        <f t="shared" si="35"/>
        <v>66.87360000000001</v>
      </c>
      <c r="J102" s="67">
        <f t="shared" si="35"/>
        <v>68.061599999999999</v>
      </c>
      <c r="K102" s="67">
        <f t="shared" si="35"/>
        <v>69.227999999999994</v>
      </c>
      <c r="L102" s="67">
        <f t="shared" si="35"/>
        <v>70.415999999999997</v>
      </c>
      <c r="M102" s="67">
        <f t="shared" si="35"/>
        <v>71.582400000000007</v>
      </c>
    </row>
    <row r="104" spans="2:23">
      <c r="B104" s="43" t="s">
        <v>188</v>
      </c>
    </row>
    <row r="106" spans="2:23">
      <c r="B106" s="44" t="s">
        <v>189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</row>
    <row r="107" spans="2:23">
      <c r="B107" s="62" t="s">
        <v>2</v>
      </c>
      <c r="C107" s="63">
        <v>0.6</v>
      </c>
      <c r="D107" s="63">
        <v>0.7</v>
      </c>
      <c r="E107" s="63">
        <v>0.8</v>
      </c>
      <c r="F107" s="63">
        <v>0.9</v>
      </c>
      <c r="G107" s="63">
        <v>1</v>
      </c>
      <c r="H107" s="63">
        <v>1.1000000000000001</v>
      </c>
      <c r="I107" s="63">
        <v>1.2</v>
      </c>
      <c r="J107" s="63">
        <v>1.3</v>
      </c>
      <c r="K107" s="63">
        <v>1.4</v>
      </c>
      <c r="L107" s="63">
        <v>1.5</v>
      </c>
      <c r="M107" s="63">
        <v>1.6</v>
      </c>
      <c r="N107" s="63">
        <v>1.7</v>
      </c>
      <c r="O107" s="63">
        <v>1.8</v>
      </c>
      <c r="P107" s="63">
        <v>1.9</v>
      </c>
      <c r="Q107" s="63">
        <v>2</v>
      </c>
    </row>
    <row r="108" spans="2:23">
      <c r="B108" s="64" t="s">
        <v>3</v>
      </c>
      <c r="C108" s="65">
        <v>12.311000000000002</v>
      </c>
      <c r="D108" s="65">
        <v>12.623000000000001</v>
      </c>
      <c r="E108" s="65">
        <v>12.934999999999999</v>
      </c>
      <c r="F108" s="65">
        <v>13.26</v>
      </c>
      <c r="G108" s="65">
        <v>13.571999999999999</v>
      </c>
      <c r="H108" s="65">
        <v>13.884</v>
      </c>
      <c r="I108" s="65">
        <v>14.196</v>
      </c>
      <c r="J108" s="65">
        <v>14.508000000000001</v>
      </c>
      <c r="K108" s="65">
        <v>14.82</v>
      </c>
      <c r="L108" s="65">
        <v>15.145000000000001</v>
      </c>
      <c r="M108" s="65">
        <v>15.457000000000001</v>
      </c>
      <c r="N108" s="65">
        <v>15.769000000000002</v>
      </c>
      <c r="O108" s="65">
        <v>16.081</v>
      </c>
      <c r="P108" s="65">
        <v>16.393000000000001</v>
      </c>
      <c r="Q108" s="65">
        <v>16.718</v>
      </c>
    </row>
    <row r="109" spans="2:23">
      <c r="B109" s="64" t="s">
        <v>4</v>
      </c>
      <c r="C109" s="65">
        <f>C108*$K$9</f>
        <v>22.159800000000004</v>
      </c>
      <c r="D109" s="65">
        <f t="shared" ref="D109:Q109" si="36">D108*$K$9</f>
        <v>22.721400000000003</v>
      </c>
      <c r="E109" s="65">
        <f t="shared" si="36"/>
        <v>23.282999999999998</v>
      </c>
      <c r="F109" s="65">
        <f t="shared" si="36"/>
        <v>23.867999999999999</v>
      </c>
      <c r="G109" s="65">
        <f t="shared" si="36"/>
        <v>24.429600000000001</v>
      </c>
      <c r="H109" s="65">
        <f t="shared" si="36"/>
        <v>24.991200000000003</v>
      </c>
      <c r="I109" s="65">
        <f t="shared" si="36"/>
        <v>25.552800000000001</v>
      </c>
      <c r="J109" s="65">
        <f t="shared" si="36"/>
        <v>26.114400000000003</v>
      </c>
      <c r="K109" s="65">
        <f t="shared" si="36"/>
        <v>26.676000000000002</v>
      </c>
      <c r="L109" s="65">
        <f t="shared" si="36"/>
        <v>27.261000000000003</v>
      </c>
      <c r="M109" s="65">
        <f t="shared" si="36"/>
        <v>27.822600000000001</v>
      </c>
      <c r="N109" s="65">
        <f t="shared" si="36"/>
        <v>28.384200000000003</v>
      </c>
      <c r="O109" s="65">
        <f t="shared" si="36"/>
        <v>28.945799999999998</v>
      </c>
      <c r="P109" s="65">
        <f t="shared" si="36"/>
        <v>29.507400000000001</v>
      </c>
      <c r="Q109" s="65">
        <f t="shared" si="36"/>
        <v>30.092400000000001</v>
      </c>
    </row>
    <row r="111" spans="2:23">
      <c r="B111" s="44" t="s">
        <v>190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</row>
    <row r="112" spans="2:23">
      <c r="B112" s="62" t="s">
        <v>2</v>
      </c>
      <c r="C112" s="63">
        <v>1</v>
      </c>
      <c r="D112" s="63">
        <v>1.1000000000000001</v>
      </c>
      <c r="E112" s="63">
        <v>1.2</v>
      </c>
      <c r="F112" s="63">
        <v>1.3</v>
      </c>
      <c r="G112" s="63">
        <v>1.4</v>
      </c>
      <c r="H112" s="63">
        <v>1.5</v>
      </c>
      <c r="I112" s="63">
        <v>1.6</v>
      </c>
      <c r="J112" s="63">
        <v>1.7</v>
      </c>
      <c r="K112" s="63">
        <v>1.8</v>
      </c>
      <c r="L112" s="63">
        <v>1.9</v>
      </c>
      <c r="M112" s="63">
        <v>2</v>
      </c>
      <c r="N112" s="63">
        <v>2.1</v>
      </c>
      <c r="O112" s="63">
        <v>2.2000000000000002</v>
      </c>
      <c r="P112" s="63">
        <v>2.2999999999999998</v>
      </c>
      <c r="Q112" s="63">
        <v>2.4</v>
      </c>
      <c r="R112" s="63">
        <v>2.5</v>
      </c>
      <c r="S112" s="63">
        <v>2.6</v>
      </c>
      <c r="T112" s="63">
        <v>2.7</v>
      </c>
      <c r="U112" s="63">
        <v>2.8</v>
      </c>
      <c r="V112" s="63">
        <v>2.9</v>
      </c>
      <c r="W112" s="63">
        <v>3</v>
      </c>
    </row>
    <row r="113" spans="2:27">
      <c r="B113" s="64" t="s">
        <v>3</v>
      </c>
      <c r="C113" s="65">
        <v>32.311999999999998</v>
      </c>
      <c r="D113" s="65">
        <v>33.431999999999995</v>
      </c>
      <c r="E113" s="65">
        <v>34.566000000000003</v>
      </c>
      <c r="F113" s="65">
        <v>35.699999999999996</v>
      </c>
      <c r="G113" s="65">
        <v>36.833999999999996</v>
      </c>
      <c r="H113" s="65">
        <v>39.942</v>
      </c>
      <c r="I113" s="65">
        <v>41.076000000000001</v>
      </c>
      <c r="J113" s="65">
        <v>42.209999999999994</v>
      </c>
      <c r="K113" s="65">
        <v>43.344000000000001</v>
      </c>
      <c r="L113" s="65">
        <v>44.477999999999994</v>
      </c>
      <c r="M113" s="65">
        <v>45.597999999999999</v>
      </c>
      <c r="N113" s="65">
        <v>46.731999999999999</v>
      </c>
      <c r="O113" s="65">
        <v>47.865999999999993</v>
      </c>
      <c r="P113" s="65">
        <v>49</v>
      </c>
      <c r="Q113" s="65">
        <v>50.134</v>
      </c>
      <c r="R113" s="65">
        <v>53.241999999999997</v>
      </c>
      <c r="S113" s="65">
        <v>54.376000000000005</v>
      </c>
      <c r="T113" s="65">
        <v>55.51</v>
      </c>
      <c r="U113" s="65">
        <v>56.643999999999998</v>
      </c>
      <c r="V113" s="65">
        <v>57.777999999999999</v>
      </c>
      <c r="W113" s="65">
        <v>58.897999999999996</v>
      </c>
    </row>
    <row r="114" spans="2:27">
      <c r="B114" s="64" t="s">
        <v>4</v>
      </c>
      <c r="C114" s="65">
        <f>C113*$K$9</f>
        <v>58.1616</v>
      </c>
      <c r="D114" s="65">
        <f t="shared" ref="D114:W114" si="37">D113*$K$9</f>
        <v>60.177599999999991</v>
      </c>
      <c r="E114" s="65">
        <f t="shared" si="37"/>
        <v>62.218800000000009</v>
      </c>
      <c r="F114" s="65">
        <f t="shared" si="37"/>
        <v>64.259999999999991</v>
      </c>
      <c r="G114" s="65">
        <f t="shared" si="37"/>
        <v>66.301199999999994</v>
      </c>
      <c r="H114" s="65">
        <f t="shared" si="37"/>
        <v>71.895600000000002</v>
      </c>
      <c r="I114" s="65">
        <f t="shared" si="37"/>
        <v>73.936800000000005</v>
      </c>
      <c r="J114" s="65">
        <f t="shared" si="37"/>
        <v>75.977999999999994</v>
      </c>
      <c r="K114" s="65">
        <f t="shared" si="37"/>
        <v>78.019199999999998</v>
      </c>
      <c r="L114" s="65">
        <f t="shared" si="37"/>
        <v>80.060399999999987</v>
      </c>
      <c r="M114" s="65">
        <f t="shared" si="37"/>
        <v>82.076400000000007</v>
      </c>
      <c r="N114" s="65">
        <f t="shared" si="37"/>
        <v>84.117599999999996</v>
      </c>
      <c r="O114" s="65">
        <f t="shared" si="37"/>
        <v>86.158799999999985</v>
      </c>
      <c r="P114" s="65">
        <f t="shared" si="37"/>
        <v>88.2</v>
      </c>
      <c r="Q114" s="65">
        <f t="shared" si="37"/>
        <v>90.241200000000006</v>
      </c>
      <c r="R114" s="65">
        <f t="shared" si="37"/>
        <v>95.835599999999999</v>
      </c>
      <c r="S114" s="65">
        <f t="shared" si="37"/>
        <v>97.876800000000017</v>
      </c>
      <c r="T114" s="65">
        <f t="shared" si="37"/>
        <v>99.917999999999992</v>
      </c>
      <c r="U114" s="65">
        <f t="shared" si="37"/>
        <v>101.9592</v>
      </c>
      <c r="V114" s="65">
        <f t="shared" si="37"/>
        <v>104.0004</v>
      </c>
      <c r="W114" s="65">
        <f t="shared" si="37"/>
        <v>106.01639999999999</v>
      </c>
    </row>
    <row r="116" spans="2:27">
      <c r="B116" s="44" t="s">
        <v>191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2:27">
      <c r="B117" s="62" t="s">
        <v>2</v>
      </c>
      <c r="C117" s="63">
        <v>1</v>
      </c>
      <c r="D117" s="63">
        <v>1.1000000000000001</v>
      </c>
      <c r="E117" s="63">
        <v>1.2</v>
      </c>
      <c r="F117" s="63">
        <v>1.3</v>
      </c>
      <c r="G117" s="63">
        <v>1.4</v>
      </c>
      <c r="H117" s="63">
        <v>1.5</v>
      </c>
      <c r="I117" s="63">
        <v>1.6</v>
      </c>
      <c r="J117" s="63">
        <v>1.7</v>
      </c>
      <c r="K117" s="63">
        <v>1.8</v>
      </c>
      <c r="L117" s="63">
        <v>1.9</v>
      </c>
      <c r="M117" s="63">
        <v>2</v>
      </c>
      <c r="N117" s="63">
        <v>2.1</v>
      </c>
      <c r="O117" s="63">
        <v>2.2000000000000002</v>
      </c>
      <c r="P117" s="63">
        <v>2.2999999999999998</v>
      </c>
      <c r="Q117" s="63">
        <v>2.4</v>
      </c>
      <c r="R117" s="63">
        <v>2.5</v>
      </c>
      <c r="S117" s="63">
        <v>2.6</v>
      </c>
      <c r="T117" s="63">
        <v>2.7</v>
      </c>
      <c r="U117" s="63">
        <v>2.8</v>
      </c>
      <c r="V117" s="63">
        <v>2.9</v>
      </c>
      <c r="W117" s="63">
        <v>3</v>
      </c>
    </row>
    <row r="118" spans="2:27">
      <c r="B118" s="64" t="s">
        <v>3</v>
      </c>
      <c r="C118" s="65">
        <v>46.451999999999998</v>
      </c>
      <c r="D118" s="65">
        <v>47.907999999999994</v>
      </c>
      <c r="E118" s="65">
        <v>49.349999999999994</v>
      </c>
      <c r="F118" s="65">
        <v>50.805999999999997</v>
      </c>
      <c r="G118" s="65">
        <v>52.261999999999993</v>
      </c>
      <c r="H118" s="65">
        <v>55.692</v>
      </c>
      <c r="I118" s="65">
        <v>57.147999999999996</v>
      </c>
      <c r="J118" s="65">
        <v>58.589999999999996</v>
      </c>
      <c r="K118" s="65">
        <v>60.045999999999999</v>
      </c>
      <c r="L118" s="65">
        <v>61.501999999999995</v>
      </c>
      <c r="M118" s="65">
        <v>62.943999999999996</v>
      </c>
      <c r="N118" s="65">
        <v>64.399999999999991</v>
      </c>
      <c r="O118" s="65">
        <v>65.855999999999995</v>
      </c>
      <c r="P118" s="65">
        <v>67.311999999999998</v>
      </c>
      <c r="Q118" s="65">
        <v>68.753999999999991</v>
      </c>
      <c r="R118" s="65">
        <v>72.183999999999997</v>
      </c>
      <c r="S118" s="65">
        <v>73.64</v>
      </c>
      <c r="T118" s="65">
        <v>75.095999999999989</v>
      </c>
      <c r="U118" s="65">
        <v>76.551999999999992</v>
      </c>
      <c r="V118" s="65">
        <v>77.994</v>
      </c>
      <c r="W118" s="65">
        <v>79.449999999999989</v>
      </c>
    </row>
    <row r="119" spans="2:27">
      <c r="B119" s="64" t="s">
        <v>4</v>
      </c>
      <c r="C119" s="65">
        <f>C118*$K$9</f>
        <v>83.613600000000005</v>
      </c>
      <c r="D119" s="65">
        <f t="shared" ref="D119:W119" si="38">D118*$K$9</f>
        <v>86.234399999999994</v>
      </c>
      <c r="E119" s="65">
        <f t="shared" si="38"/>
        <v>88.83</v>
      </c>
      <c r="F119" s="65">
        <f t="shared" si="38"/>
        <v>91.450800000000001</v>
      </c>
      <c r="G119" s="65">
        <f t="shared" si="38"/>
        <v>94.071599999999989</v>
      </c>
      <c r="H119" s="65">
        <f t="shared" si="38"/>
        <v>100.2456</v>
      </c>
      <c r="I119" s="65">
        <f t="shared" si="38"/>
        <v>102.8664</v>
      </c>
      <c r="J119" s="65">
        <f t="shared" si="38"/>
        <v>105.46199999999999</v>
      </c>
      <c r="K119" s="65">
        <f t="shared" si="38"/>
        <v>108.08280000000001</v>
      </c>
      <c r="L119" s="65">
        <f t="shared" si="38"/>
        <v>110.70359999999999</v>
      </c>
      <c r="M119" s="65">
        <f t="shared" si="38"/>
        <v>113.2992</v>
      </c>
      <c r="N119" s="65">
        <f t="shared" si="38"/>
        <v>115.91999999999999</v>
      </c>
      <c r="O119" s="65">
        <f t="shared" si="38"/>
        <v>118.54079999999999</v>
      </c>
      <c r="P119" s="65">
        <f t="shared" si="38"/>
        <v>121.16159999999999</v>
      </c>
      <c r="Q119" s="65">
        <f t="shared" si="38"/>
        <v>123.75719999999998</v>
      </c>
      <c r="R119" s="65">
        <f t="shared" si="38"/>
        <v>129.93119999999999</v>
      </c>
      <c r="S119" s="65">
        <f t="shared" si="38"/>
        <v>132.55199999999999</v>
      </c>
      <c r="T119" s="65">
        <f t="shared" si="38"/>
        <v>135.1728</v>
      </c>
      <c r="U119" s="65">
        <f t="shared" si="38"/>
        <v>137.7936</v>
      </c>
      <c r="V119" s="65">
        <f t="shared" si="38"/>
        <v>140.38920000000002</v>
      </c>
      <c r="W119" s="65">
        <f t="shared" si="38"/>
        <v>143.01</v>
      </c>
    </row>
    <row r="121" spans="2:27" ht="13.5" thickBot="1"/>
    <row r="122" spans="2:27" ht="21.75" thickBot="1">
      <c r="B122" s="70" t="s">
        <v>56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100"/>
      <c r="N122" s="100"/>
      <c r="X122" s="39"/>
      <c r="Y122" s="39"/>
    </row>
    <row r="123" spans="2:27" ht="16.5" thickBot="1">
      <c r="B123" s="72" t="s">
        <v>112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101"/>
      <c r="N123" s="101"/>
      <c r="O123" s="74"/>
      <c r="P123" s="74"/>
      <c r="Q123" s="74"/>
      <c r="R123" s="74"/>
      <c r="S123" s="74"/>
      <c r="T123" s="74"/>
      <c r="U123" s="74"/>
      <c r="X123" s="39"/>
      <c r="Y123" s="39"/>
    </row>
    <row r="124" spans="2:27" ht="16.5" thickBot="1">
      <c r="B124" s="72" t="s">
        <v>113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101"/>
      <c r="N124" s="101"/>
      <c r="O124" s="74"/>
      <c r="P124" s="74"/>
      <c r="Q124" s="74"/>
      <c r="R124" s="74"/>
      <c r="S124" s="74"/>
      <c r="T124" s="74"/>
      <c r="U124" s="39"/>
      <c r="V124" s="39"/>
      <c r="W124" s="39"/>
      <c r="X124" s="39"/>
      <c r="Y124" s="39"/>
      <c r="Z124" s="39"/>
    </row>
    <row r="125" spans="2:27" ht="15" customHeight="1" thickBot="1">
      <c r="B125" s="75" t="s">
        <v>114</v>
      </c>
      <c r="U125" s="39"/>
      <c r="V125" s="39"/>
      <c r="W125" s="39"/>
      <c r="X125" s="39"/>
      <c r="Y125" s="39"/>
      <c r="Z125" s="39"/>
      <c r="AA125" s="39"/>
    </row>
    <row r="126" spans="2:27" ht="15" customHeight="1" thickBot="1">
      <c r="B126" s="75" t="s">
        <v>192</v>
      </c>
      <c r="U126" s="39"/>
      <c r="V126" s="39"/>
      <c r="W126" s="39"/>
      <c r="X126" s="39"/>
      <c r="Y126" s="39"/>
      <c r="Z126" s="39"/>
      <c r="AA126" s="39"/>
    </row>
    <row r="127" spans="2:27" ht="21.75" thickBot="1">
      <c r="B127" s="76" t="s">
        <v>118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7"/>
      <c r="T127" s="77"/>
      <c r="U127" s="39"/>
      <c r="V127" s="39"/>
      <c r="W127" s="39"/>
      <c r="X127" s="39"/>
      <c r="Y127" s="39"/>
      <c r="Z127" s="39"/>
    </row>
    <row r="128" spans="2:27" ht="21.75" thickBot="1">
      <c r="B128" s="76" t="s">
        <v>119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4"/>
      <c r="T128" s="74"/>
      <c r="U128" s="39"/>
      <c r="V128" s="39"/>
      <c r="W128" s="39"/>
      <c r="X128" s="39"/>
      <c r="Y128" s="39"/>
      <c r="Z128" s="39"/>
    </row>
  </sheetData>
  <sheetProtection password="CFE4" sheet="1" objects="1" scenarios="1"/>
  <mergeCells count="144">
    <mergeCell ref="B101:B102"/>
    <mergeCell ref="B86:B87"/>
    <mergeCell ref="B88:B89"/>
    <mergeCell ref="B93:B94"/>
    <mergeCell ref="B95:B96"/>
    <mergeCell ref="B97:B98"/>
    <mergeCell ref="B99:B100"/>
    <mergeCell ref="B74:B75"/>
    <mergeCell ref="B76:B77"/>
    <mergeCell ref="B78:B79"/>
    <mergeCell ref="B80:B81"/>
    <mergeCell ref="B82:B83"/>
    <mergeCell ref="B84:B85"/>
    <mergeCell ref="B59:B60"/>
    <mergeCell ref="B61:B62"/>
    <mergeCell ref="B63:B64"/>
    <mergeCell ref="B65:B66"/>
    <mergeCell ref="B67:B68"/>
    <mergeCell ref="B72:B73"/>
    <mergeCell ref="R39:S40"/>
    <mergeCell ref="B51:B52"/>
    <mergeCell ref="U51:Y53"/>
    <mergeCell ref="B53:B54"/>
    <mergeCell ref="B55:B56"/>
    <mergeCell ref="B57:B58"/>
    <mergeCell ref="B39:B40"/>
    <mergeCell ref="C39:E40"/>
    <mergeCell ref="F39:I40"/>
    <mergeCell ref="J39:K40"/>
    <mergeCell ref="L39:O40"/>
    <mergeCell ref="P39:Q40"/>
    <mergeCell ref="R35:S36"/>
    <mergeCell ref="B37:B38"/>
    <mergeCell ref="C37:E38"/>
    <mergeCell ref="F37:I38"/>
    <mergeCell ref="J37:K38"/>
    <mergeCell ref="L37:O38"/>
    <mergeCell ref="P37:Q38"/>
    <mergeCell ref="R37:S38"/>
    <mergeCell ref="B35:B36"/>
    <mergeCell ref="C35:E36"/>
    <mergeCell ref="F35:I36"/>
    <mergeCell ref="J35:K36"/>
    <mergeCell ref="L35:O36"/>
    <mergeCell ref="P35:Q36"/>
    <mergeCell ref="R31:S32"/>
    <mergeCell ref="B33:B34"/>
    <mergeCell ref="C33:E34"/>
    <mergeCell ref="F33:I34"/>
    <mergeCell ref="J33:K34"/>
    <mergeCell ref="L33:O34"/>
    <mergeCell ref="P33:Q34"/>
    <mergeCell ref="R33:S34"/>
    <mergeCell ref="B31:B32"/>
    <mergeCell ref="C31:E32"/>
    <mergeCell ref="F31:I32"/>
    <mergeCell ref="J31:K32"/>
    <mergeCell ref="L31:O32"/>
    <mergeCell ref="P31:Q32"/>
    <mergeCell ref="B29:B30"/>
    <mergeCell ref="C29:E30"/>
    <mergeCell ref="F29:I30"/>
    <mergeCell ref="J29:K30"/>
    <mergeCell ref="L29:O30"/>
    <mergeCell ref="P29:Q30"/>
    <mergeCell ref="R29:S30"/>
    <mergeCell ref="U25:W25"/>
    <mergeCell ref="B26:B28"/>
    <mergeCell ref="C26:E28"/>
    <mergeCell ref="F26:I28"/>
    <mergeCell ref="J26:K28"/>
    <mergeCell ref="L26:O28"/>
    <mergeCell ref="P26:Q28"/>
    <mergeCell ref="R26:S28"/>
    <mergeCell ref="U26:W26"/>
    <mergeCell ref="U27:W27"/>
    <mergeCell ref="B24:B25"/>
    <mergeCell ref="C24:E25"/>
    <mergeCell ref="F24:I25"/>
    <mergeCell ref="J24:K25"/>
    <mergeCell ref="L24:O25"/>
    <mergeCell ref="P24:Q25"/>
    <mergeCell ref="R24:S25"/>
    <mergeCell ref="U24:W24"/>
    <mergeCell ref="U28:W28"/>
    <mergeCell ref="B22:B23"/>
    <mergeCell ref="C22:E23"/>
    <mergeCell ref="F22:I23"/>
    <mergeCell ref="J22:K23"/>
    <mergeCell ref="L22:O23"/>
    <mergeCell ref="P22:Q23"/>
    <mergeCell ref="R22:S23"/>
    <mergeCell ref="U22:W22"/>
    <mergeCell ref="U23:W23"/>
    <mergeCell ref="R17:S18"/>
    <mergeCell ref="Y17:Z17"/>
    <mergeCell ref="Y18:Z18"/>
    <mergeCell ref="B19:B21"/>
    <mergeCell ref="C19:E21"/>
    <mergeCell ref="F19:I21"/>
    <mergeCell ref="J19:K21"/>
    <mergeCell ref="L19:O21"/>
    <mergeCell ref="P19:Q21"/>
    <mergeCell ref="R19:S21"/>
    <mergeCell ref="B17:B18"/>
    <mergeCell ref="C17:E18"/>
    <mergeCell ref="F17:I18"/>
    <mergeCell ref="J17:K18"/>
    <mergeCell ref="L17:O18"/>
    <mergeCell ref="P17:Q18"/>
    <mergeCell ref="U20:W21"/>
    <mergeCell ref="X20:Y20"/>
    <mergeCell ref="Z20:AA20"/>
    <mergeCell ref="P15:Q16"/>
    <mergeCell ref="R15:S16"/>
    <mergeCell ref="U15:W15"/>
    <mergeCell ref="Y15:Z15"/>
    <mergeCell ref="U16:W16"/>
    <mergeCell ref="Y16:Z16"/>
    <mergeCell ref="R13:S14"/>
    <mergeCell ref="U13:W13"/>
    <mergeCell ref="Y13:Z13"/>
    <mergeCell ref="U14:W14"/>
    <mergeCell ref="Y14:Z14"/>
    <mergeCell ref="P13:Q14"/>
    <mergeCell ref="B15:B16"/>
    <mergeCell ref="C15:E16"/>
    <mergeCell ref="F15:I16"/>
    <mergeCell ref="J15:K16"/>
    <mergeCell ref="L15:O16"/>
    <mergeCell ref="B13:B14"/>
    <mergeCell ref="C13:E14"/>
    <mergeCell ref="F13:I14"/>
    <mergeCell ref="J13:K14"/>
    <mergeCell ref="L13:O14"/>
    <mergeCell ref="U4:AG4"/>
    <mergeCell ref="U5:AG5"/>
    <mergeCell ref="C12:E12"/>
    <mergeCell ref="F12:I12"/>
    <mergeCell ref="J12:K12"/>
    <mergeCell ref="L12:O12"/>
    <mergeCell ref="P12:Q12"/>
    <mergeCell ref="R12:S12"/>
    <mergeCell ref="U12:W12"/>
  </mergeCells>
  <pageMargins left="0.7" right="0.7" top="0.75" bottom="0.75" header="0.3" footer="0.3"/>
  <pageSetup paperSize="9" scale="32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82"/>
  <sheetViews>
    <sheetView tabSelected="1" topLeftCell="A7" zoomScale="90" zoomScaleNormal="90" workbookViewId="0">
      <selection activeCell="S20" sqref="S20"/>
    </sheetView>
  </sheetViews>
  <sheetFormatPr defaultColWidth="9.1640625" defaultRowHeight="12.75"/>
  <cols>
    <col min="1" max="1" width="13.1640625" style="36" customWidth="1"/>
    <col min="2" max="2" width="14" style="36" customWidth="1"/>
    <col min="3" max="21" width="9.6640625" style="36" customWidth="1"/>
    <col min="22" max="22" width="11.6640625" style="36" customWidth="1"/>
    <col min="23" max="23" width="11.5" style="36" customWidth="1"/>
    <col min="24" max="25" width="9.6640625" style="36" customWidth="1"/>
    <col min="26" max="16384" width="9.1640625" style="36"/>
  </cols>
  <sheetData>
    <row r="1" spans="2:29">
      <c r="Q1" s="37" t="s">
        <v>26</v>
      </c>
      <c r="R1" s="38"/>
      <c r="S1" s="38"/>
      <c r="T1" s="38"/>
      <c r="U1" s="38"/>
      <c r="V1" s="38"/>
      <c r="W1" s="39"/>
      <c r="X1" s="39"/>
      <c r="Y1" s="39"/>
      <c r="Z1" s="39"/>
      <c r="AA1" s="39"/>
      <c r="AB1" s="39"/>
      <c r="AC1" s="39"/>
    </row>
    <row r="2" spans="2:29">
      <c r="Q2" s="38" t="s">
        <v>27</v>
      </c>
      <c r="R2" s="38"/>
      <c r="S2" s="38"/>
      <c r="T2" s="38"/>
      <c r="U2" s="38"/>
      <c r="V2" s="38"/>
      <c r="W2" s="39"/>
      <c r="X2" s="39"/>
      <c r="Y2" s="39"/>
      <c r="Z2" s="39"/>
      <c r="AA2" s="39"/>
      <c r="AB2" s="39"/>
      <c r="AC2" s="39"/>
    </row>
    <row r="3" spans="2:29">
      <c r="Q3" s="38" t="s">
        <v>28</v>
      </c>
      <c r="R3" s="38"/>
      <c r="S3" s="38"/>
      <c r="T3" s="38"/>
      <c r="U3" s="38"/>
      <c r="V3" s="38"/>
      <c r="W3" s="39"/>
      <c r="X3" s="39"/>
      <c r="Y3" s="39"/>
      <c r="Z3" s="39"/>
      <c r="AA3" s="39"/>
      <c r="AB3" s="39"/>
      <c r="AC3" s="39"/>
    </row>
    <row r="4" spans="2:29">
      <c r="Q4" s="38" t="s">
        <v>29</v>
      </c>
      <c r="R4" s="38"/>
      <c r="S4" s="38"/>
      <c r="T4" s="38"/>
      <c r="U4" s="38"/>
      <c r="V4" s="38"/>
      <c r="W4" s="39"/>
      <c r="X4" s="39"/>
      <c r="Y4" s="39"/>
      <c r="Z4" s="39"/>
      <c r="AA4" s="39"/>
      <c r="AB4" s="39"/>
      <c r="AC4" s="39"/>
    </row>
    <row r="5" spans="2:29" ht="34.9" customHeight="1">
      <c r="Q5" s="216" t="s">
        <v>65</v>
      </c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</row>
    <row r="6" spans="2:29" ht="22.9" customHeight="1">
      <c r="Q6" s="216" t="s">
        <v>66</v>
      </c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</row>
    <row r="7" spans="2:29">
      <c r="Q7" s="38" t="s">
        <v>32</v>
      </c>
      <c r="R7" s="38"/>
      <c r="S7" s="38"/>
      <c r="T7" s="38"/>
      <c r="U7" s="38"/>
      <c r="V7" s="38"/>
      <c r="W7" s="39"/>
      <c r="X7" s="39"/>
      <c r="Y7" s="39"/>
      <c r="Z7" s="39"/>
      <c r="AA7" s="39"/>
      <c r="AB7" s="39"/>
      <c r="AC7" s="39"/>
    </row>
    <row r="8" spans="2:29">
      <c r="Q8" s="40"/>
      <c r="R8" s="41" t="s">
        <v>33</v>
      </c>
      <c r="S8" s="40" t="s">
        <v>67</v>
      </c>
      <c r="T8" s="42"/>
      <c r="U8" s="42"/>
      <c r="V8" s="42"/>
      <c r="W8" s="42"/>
      <c r="X8" s="40"/>
      <c r="Y8" s="40"/>
      <c r="Z8" s="40"/>
      <c r="AA8" s="40"/>
      <c r="AB8" s="40"/>
      <c r="AC8" s="40"/>
    </row>
    <row r="9" spans="2:29" ht="13.5" thickBot="1"/>
    <row r="10" spans="2:29" ht="18.75" thickBot="1">
      <c r="B10" s="85" t="s">
        <v>0</v>
      </c>
      <c r="C10" s="81">
        <v>68</v>
      </c>
      <c r="D10" s="36" t="s">
        <v>38</v>
      </c>
      <c r="H10" s="86" t="s">
        <v>62</v>
      </c>
      <c r="I10" s="81">
        <v>1.8</v>
      </c>
      <c r="J10" s="36" t="s">
        <v>38</v>
      </c>
      <c r="Q10" s="43" t="s">
        <v>68</v>
      </c>
    </row>
    <row r="11" spans="2:29">
      <c r="Q11" s="43" t="s">
        <v>69</v>
      </c>
    </row>
    <row r="12" spans="2:29" ht="15.75" thickBot="1">
      <c r="B12" s="44" t="s">
        <v>70</v>
      </c>
      <c r="Q12" s="45"/>
    </row>
    <row r="13" spans="2:29" ht="26.25" thickBot="1">
      <c r="B13" s="46" t="s">
        <v>71</v>
      </c>
      <c r="C13" s="362" t="s">
        <v>72</v>
      </c>
      <c r="D13" s="362"/>
      <c r="E13" s="362"/>
      <c r="F13" s="362"/>
      <c r="G13" s="362"/>
      <c r="H13" s="362"/>
      <c r="I13" s="363"/>
      <c r="J13" s="219" t="s">
        <v>73</v>
      </c>
      <c r="K13" s="220"/>
      <c r="L13" s="219" t="s">
        <v>13</v>
      </c>
      <c r="M13" s="220"/>
      <c r="N13" s="219" t="s">
        <v>14</v>
      </c>
      <c r="O13" s="220"/>
      <c r="Q13" s="222" t="s">
        <v>35</v>
      </c>
      <c r="R13" s="223"/>
      <c r="S13" s="224"/>
      <c r="T13" s="47" t="s">
        <v>36</v>
      </c>
      <c r="U13" s="48"/>
      <c r="V13" s="49"/>
      <c r="W13" s="39"/>
    </row>
    <row r="14" spans="2:29" ht="17.45" customHeight="1">
      <c r="B14" s="354">
        <v>1</v>
      </c>
      <c r="C14" s="355" t="s">
        <v>74</v>
      </c>
      <c r="D14" s="356"/>
      <c r="E14" s="356"/>
      <c r="F14" s="356"/>
      <c r="G14" s="356"/>
      <c r="H14" s="356"/>
      <c r="I14" s="357"/>
      <c r="J14" s="358"/>
      <c r="K14" s="359"/>
      <c r="L14" s="360">
        <v>13.999942000000001</v>
      </c>
      <c r="M14" s="361"/>
      <c r="N14" s="360">
        <f>L14*$I$10</f>
        <v>25.199895600000001</v>
      </c>
      <c r="O14" s="361"/>
      <c r="Q14" s="246" t="s">
        <v>37</v>
      </c>
      <c r="R14" s="247"/>
      <c r="S14" s="248"/>
      <c r="T14" s="82">
        <v>0.57999999999999996</v>
      </c>
      <c r="U14" s="249" t="s">
        <v>38</v>
      </c>
      <c r="V14" s="250"/>
      <c r="W14" s="50"/>
    </row>
    <row r="15" spans="2:29" ht="17.45" customHeight="1">
      <c r="B15" s="228"/>
      <c r="C15" s="310"/>
      <c r="D15" s="311"/>
      <c r="E15" s="311"/>
      <c r="F15" s="311"/>
      <c r="G15" s="311"/>
      <c r="H15" s="311"/>
      <c r="I15" s="312"/>
      <c r="J15" s="352"/>
      <c r="K15" s="353"/>
      <c r="L15" s="317"/>
      <c r="M15" s="318"/>
      <c r="N15" s="317"/>
      <c r="O15" s="318"/>
      <c r="Q15" s="251" t="s">
        <v>40</v>
      </c>
      <c r="R15" s="252"/>
      <c r="S15" s="253"/>
      <c r="T15" s="83">
        <v>1.1000000000000001</v>
      </c>
      <c r="U15" s="249" t="s">
        <v>38</v>
      </c>
      <c r="V15" s="250"/>
      <c r="W15" s="50"/>
    </row>
    <row r="16" spans="2:29" ht="17.45" customHeight="1">
      <c r="B16" s="306">
        <v>2</v>
      </c>
      <c r="C16" s="307" t="s">
        <v>75</v>
      </c>
      <c r="D16" s="308"/>
      <c r="E16" s="308"/>
      <c r="F16" s="308"/>
      <c r="G16" s="308"/>
      <c r="H16" s="308"/>
      <c r="I16" s="309"/>
      <c r="J16" s="313" t="s">
        <v>76</v>
      </c>
      <c r="K16" s="309"/>
      <c r="L16" s="315">
        <v>18.079050000000002</v>
      </c>
      <c r="M16" s="316"/>
      <c r="N16" s="315">
        <f t="shared" ref="N16:N27" si="0">L16*$I$10</f>
        <v>32.542290000000008</v>
      </c>
      <c r="O16" s="316"/>
      <c r="Q16" s="234" t="s">
        <v>41</v>
      </c>
      <c r="R16" s="235"/>
      <c r="S16" s="236"/>
      <c r="T16" s="51">
        <f>T14*T15</f>
        <v>0.63800000000000001</v>
      </c>
      <c r="U16" s="237" t="s">
        <v>42</v>
      </c>
      <c r="V16" s="238"/>
      <c r="W16" s="39"/>
    </row>
    <row r="17" spans="2:35" ht="17.45" customHeight="1">
      <c r="B17" s="228"/>
      <c r="C17" s="310"/>
      <c r="D17" s="311"/>
      <c r="E17" s="311"/>
      <c r="F17" s="311"/>
      <c r="G17" s="311"/>
      <c r="H17" s="311"/>
      <c r="I17" s="312"/>
      <c r="J17" s="314"/>
      <c r="K17" s="312"/>
      <c r="L17" s="317"/>
      <c r="M17" s="318"/>
      <c r="N17" s="317"/>
      <c r="O17" s="318"/>
      <c r="Q17" s="239" t="s">
        <v>11</v>
      </c>
      <c r="R17" s="240"/>
      <c r="S17" s="241"/>
      <c r="T17" s="83">
        <v>3</v>
      </c>
      <c r="U17" s="242" t="s">
        <v>77</v>
      </c>
      <c r="V17" s="243"/>
      <c r="W17" s="39"/>
    </row>
    <row r="18" spans="2:35" ht="17.45" customHeight="1" thickBot="1">
      <c r="B18" s="306">
        <v>3</v>
      </c>
      <c r="C18" s="307" t="s">
        <v>78</v>
      </c>
      <c r="D18" s="308"/>
      <c r="E18" s="308"/>
      <c r="F18" s="308"/>
      <c r="G18" s="308"/>
      <c r="H18" s="308"/>
      <c r="I18" s="309"/>
      <c r="J18" s="350"/>
      <c r="K18" s="351"/>
      <c r="L18" s="315">
        <v>23.765499999999999</v>
      </c>
      <c r="M18" s="316"/>
      <c r="N18" s="315">
        <f t="shared" si="0"/>
        <v>42.777900000000002</v>
      </c>
      <c r="O18" s="316"/>
      <c r="Q18" s="52" t="s">
        <v>47</v>
      </c>
      <c r="R18" s="53"/>
      <c r="S18" s="54"/>
      <c r="T18" s="84">
        <v>1</v>
      </c>
      <c r="U18" s="249" t="s">
        <v>38</v>
      </c>
      <c r="V18" s="250"/>
      <c r="W18" s="39"/>
    </row>
    <row r="19" spans="2:35" ht="17.45" customHeight="1" thickBot="1">
      <c r="B19" s="228"/>
      <c r="C19" s="310"/>
      <c r="D19" s="311"/>
      <c r="E19" s="311"/>
      <c r="F19" s="311"/>
      <c r="G19" s="311"/>
      <c r="H19" s="311"/>
      <c r="I19" s="312"/>
      <c r="J19" s="352"/>
      <c r="K19" s="353"/>
      <c r="L19" s="317"/>
      <c r="M19" s="318"/>
      <c r="N19" s="317"/>
      <c r="O19" s="318"/>
      <c r="Q19" s="55" t="s">
        <v>48</v>
      </c>
      <c r="R19" s="55"/>
      <c r="S19" s="56"/>
      <c r="T19" s="57">
        <f>IF(T14&lt;1.5,2,IF(T14&lt;2.5,3,IF(T14&lt;3.5,4,IF(T14&lt;4.5,5,))))</f>
        <v>2</v>
      </c>
      <c r="U19" s="255" t="s">
        <v>42</v>
      </c>
      <c r="V19" s="256"/>
      <c r="W19" s="39" t="s">
        <v>79</v>
      </c>
    </row>
    <row r="20" spans="2:35" ht="17.45" customHeight="1" thickBot="1">
      <c r="B20" s="306">
        <v>4</v>
      </c>
      <c r="C20" s="307" t="s">
        <v>80</v>
      </c>
      <c r="D20" s="308"/>
      <c r="E20" s="308"/>
      <c r="F20" s="308"/>
      <c r="G20" s="308"/>
      <c r="H20" s="308"/>
      <c r="I20" s="309"/>
      <c r="J20" s="313" t="s">
        <v>81</v>
      </c>
      <c r="K20" s="309"/>
      <c r="L20" s="315">
        <v>30.707600000000003</v>
      </c>
      <c r="M20" s="316"/>
      <c r="N20" s="315">
        <f>L20*$I$10</f>
        <v>55.273680000000006</v>
      </c>
      <c r="O20" s="316"/>
      <c r="Q20" s="58" t="s">
        <v>82</v>
      </c>
      <c r="R20" s="39"/>
      <c r="S20" s="39"/>
      <c r="T20" s="39"/>
      <c r="U20" s="39"/>
      <c r="V20" s="39"/>
      <c r="W20" s="39"/>
    </row>
    <row r="21" spans="2:35" ht="17.45" customHeight="1">
      <c r="B21" s="341"/>
      <c r="C21" s="342"/>
      <c r="D21" s="343"/>
      <c r="E21" s="343"/>
      <c r="F21" s="343"/>
      <c r="G21" s="343"/>
      <c r="H21" s="343"/>
      <c r="I21" s="344"/>
      <c r="J21" s="345"/>
      <c r="K21" s="344"/>
      <c r="L21" s="329"/>
      <c r="M21" s="330"/>
      <c r="N21" s="329"/>
      <c r="O21" s="330"/>
      <c r="Q21" s="335" t="s">
        <v>83</v>
      </c>
      <c r="R21" s="346"/>
      <c r="S21" s="336"/>
      <c r="T21" s="335" t="s">
        <v>3</v>
      </c>
      <c r="U21" s="336"/>
      <c r="V21" s="337" t="s">
        <v>4</v>
      </c>
      <c r="W21" s="336"/>
      <c r="X21" s="127"/>
      <c r="Y21" s="79" t="s">
        <v>84</v>
      </c>
      <c r="Z21" s="79" t="s">
        <v>85</v>
      </c>
      <c r="AA21" s="79"/>
      <c r="AB21" s="79"/>
      <c r="AC21" s="79"/>
      <c r="AD21" s="79"/>
      <c r="AE21" s="79"/>
      <c r="AF21" s="79"/>
      <c r="AG21" s="79"/>
      <c r="AH21" s="79"/>
      <c r="AI21" s="79"/>
    </row>
    <row r="22" spans="2:35" ht="17.45" customHeight="1" thickBot="1">
      <c r="B22" s="228"/>
      <c r="C22" s="310"/>
      <c r="D22" s="311"/>
      <c r="E22" s="311"/>
      <c r="F22" s="311"/>
      <c r="G22" s="311"/>
      <c r="H22" s="311"/>
      <c r="I22" s="312"/>
      <c r="J22" s="314"/>
      <c r="K22" s="312"/>
      <c r="L22" s="317"/>
      <c r="M22" s="318"/>
      <c r="N22" s="317"/>
      <c r="O22" s="318"/>
      <c r="Q22" s="347"/>
      <c r="R22" s="348"/>
      <c r="S22" s="349"/>
      <c r="T22" s="59" t="s">
        <v>86</v>
      </c>
      <c r="U22" s="60" t="s">
        <v>87</v>
      </c>
      <c r="V22" s="61" t="s">
        <v>86</v>
      </c>
      <c r="W22" s="60" t="s">
        <v>87</v>
      </c>
      <c r="X22" s="127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</row>
    <row r="23" spans="2:35" ht="17.45" customHeight="1">
      <c r="B23" s="306">
        <v>5</v>
      </c>
      <c r="C23" s="307" t="s">
        <v>88</v>
      </c>
      <c r="D23" s="308"/>
      <c r="E23" s="308"/>
      <c r="F23" s="308"/>
      <c r="G23" s="308"/>
      <c r="H23" s="308"/>
      <c r="I23" s="309"/>
      <c r="J23" s="313" t="s">
        <v>89</v>
      </c>
      <c r="K23" s="309"/>
      <c r="L23" s="315">
        <v>35.461800000000004</v>
      </c>
      <c r="M23" s="316"/>
      <c r="N23" s="315">
        <f t="shared" si="0"/>
        <v>63.831240000000008</v>
      </c>
      <c r="O23" s="316"/>
      <c r="Q23" s="338" t="s">
        <v>90</v>
      </c>
      <c r="R23" s="339"/>
      <c r="S23" s="340"/>
      <c r="T23" s="301">
        <f>(Y24+Z24+AA24)*$T$18</f>
        <v>27.668389000000001</v>
      </c>
      <c r="U23" s="303">
        <f>T23*$C$10</f>
        <v>1881.450452</v>
      </c>
      <c r="V23" s="293">
        <f>T23*$I$10</f>
        <v>49.803100200000003</v>
      </c>
      <c r="W23" s="303">
        <f>U23*$I$10</f>
        <v>3386.6108136000003</v>
      </c>
      <c r="X23" s="127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</row>
    <row r="24" spans="2:35" ht="17.45" customHeight="1">
      <c r="B24" s="228"/>
      <c r="C24" s="310"/>
      <c r="D24" s="311"/>
      <c r="E24" s="311"/>
      <c r="F24" s="311"/>
      <c r="G24" s="311"/>
      <c r="H24" s="311"/>
      <c r="I24" s="312"/>
      <c r="J24" s="314"/>
      <c r="K24" s="312"/>
      <c r="L24" s="317"/>
      <c r="M24" s="318"/>
      <c r="N24" s="317"/>
      <c r="O24" s="318"/>
      <c r="Q24" s="331"/>
      <c r="R24" s="332"/>
      <c r="S24" s="333"/>
      <c r="T24" s="334"/>
      <c r="U24" s="319"/>
      <c r="V24" s="294"/>
      <c r="W24" s="319"/>
      <c r="X24" s="127"/>
      <c r="Y24" s="79">
        <f>IF($T$17=1,L14*T16,IF($T$17=2,L16*T16,IF($T$17=3,L18*T16,IF($T$17=4,L20*T16,IF($T$17=5,L23*T16,IF($T$17=6,$L$25*T16,IF($T$17=7,T16*L27,IF($T$17=8,T16*L29,ошибка))))))))</f>
        <v>15.162388999999999</v>
      </c>
      <c r="Z24" s="79">
        <f>IF(T14&lt;=0.4,C36,IF(T14&lt;=0.45,D36,IF(T14&lt;=0.5,E36,IF(T14&lt;=0.55,F36,IF(T14&lt;=0.6,G36,IF(T14&lt;=0.65,H36,IF(T14&lt;=0.7,I36,IF(T14&lt;=0.75,J36,IF(T14&lt;=0.8,K36,IF(T14&lt;=0.85,L36,IF(T14&lt;=0.9,M36,IF(T14&lt;=0.95,N36,IF(T14&lt;=1,O36,IF(T14&lt;=1.05,P36,IF(T14&lt;=1.1,Q36,IF(T14&lt;=1.15,R36,IF(T14&lt;=1.2,S36,IF(T14&lt;=1.25,T36,IF(T14&lt;=1.3,U36,IF(T14&lt;=1.35,V36,IF(T14&lt;=1.4,W36,IF(T14&lt;=1.45,X36,IF(T14&lt;=1.5,Y36,ошибка)))))))))))))))))))))))</f>
        <v>12.506000000000002</v>
      </c>
      <c r="AA24" s="79">
        <f>IF(T15&lt;1.81,0,ошибка)</f>
        <v>0</v>
      </c>
      <c r="AB24" s="79"/>
      <c r="AC24" s="79"/>
      <c r="AD24" s="79"/>
      <c r="AE24" s="79"/>
      <c r="AF24" s="79"/>
      <c r="AG24" s="79"/>
      <c r="AH24" s="79"/>
      <c r="AI24" s="79"/>
    </row>
    <row r="25" spans="2:35" ht="17.45" customHeight="1">
      <c r="B25" s="306">
        <v>6</v>
      </c>
      <c r="C25" s="307" t="s">
        <v>91</v>
      </c>
      <c r="D25" s="308"/>
      <c r="E25" s="308"/>
      <c r="F25" s="308"/>
      <c r="G25" s="308"/>
      <c r="H25" s="308"/>
      <c r="I25" s="309"/>
      <c r="J25" s="313" t="s">
        <v>92</v>
      </c>
      <c r="K25" s="309"/>
      <c r="L25" s="315">
        <v>47.575836000000002</v>
      </c>
      <c r="M25" s="316"/>
      <c r="N25" s="315">
        <f t="shared" si="0"/>
        <v>85.636504800000012</v>
      </c>
      <c r="O25" s="316"/>
      <c r="Q25" s="295" t="s">
        <v>93</v>
      </c>
      <c r="R25" s="296"/>
      <c r="S25" s="297"/>
      <c r="T25" s="301">
        <f t="shared" ref="T25" si="1">(Y26+Z26+AA26)*$T$18</f>
        <v>35.784388999999997</v>
      </c>
      <c r="U25" s="303">
        <f t="shared" ref="U25" si="2">T25*$C$10</f>
        <v>2433.338452</v>
      </c>
      <c r="V25" s="293">
        <f>T25*$I$10</f>
        <v>64.411900199999991</v>
      </c>
      <c r="W25" s="303">
        <f t="shared" ref="W25" si="3">U25*$I$10</f>
        <v>4380.0092136000003</v>
      </c>
      <c r="X25" s="127"/>
      <c r="Y25" s="79"/>
      <c r="Z25" s="80" t="s">
        <v>94</v>
      </c>
      <c r="AA25" s="80" t="s">
        <v>95</v>
      </c>
      <c r="AB25" s="79"/>
      <c r="AC25" s="79"/>
      <c r="AD25" s="79"/>
      <c r="AE25" s="79"/>
      <c r="AF25" s="79"/>
      <c r="AG25" s="79"/>
      <c r="AH25" s="79"/>
      <c r="AI25" s="79"/>
    </row>
    <row r="26" spans="2:35" ht="17.45" customHeight="1">
      <c r="B26" s="228"/>
      <c r="C26" s="310"/>
      <c r="D26" s="311"/>
      <c r="E26" s="311"/>
      <c r="F26" s="311"/>
      <c r="G26" s="311"/>
      <c r="H26" s="311"/>
      <c r="I26" s="312"/>
      <c r="J26" s="314"/>
      <c r="K26" s="312"/>
      <c r="L26" s="317"/>
      <c r="M26" s="318"/>
      <c r="N26" s="317"/>
      <c r="O26" s="318"/>
      <c r="Q26" s="331"/>
      <c r="R26" s="332"/>
      <c r="S26" s="333"/>
      <c r="T26" s="334"/>
      <c r="U26" s="319"/>
      <c r="V26" s="294"/>
      <c r="W26" s="319"/>
      <c r="X26" s="127"/>
      <c r="Y26" s="79">
        <f>Y24</f>
        <v>15.162388999999999</v>
      </c>
      <c r="Z26" s="79">
        <f>IF(T14&lt;=0.4,C41,IF(T14&lt;=0.45,D41,IF(T14&lt;=0.5,E41,IF(T14&lt;=0.55,F41,IF(T14&lt;=0.6,G41,IF(T14&lt;=0.65,H41,IF(T14&lt;=0.7,I41,IF(T14&lt;=0.75,J41,IF(T14&lt;=0.8,K41,IF(T14&lt;=0.85,L41,IF(T14&lt;=0.9,M41,IF(T14&lt;=0.95,N41,IF(T14&lt;=1,O41,IF(T14&lt;=1.05,P41,IF(T14&lt;=1.1,Q41,IF(T14&lt;=1.15,R41,IF(T14&lt;=1.2,S41,ошибка)))))))))))))))))</f>
        <v>20.201999999999998</v>
      </c>
      <c r="AA26" s="79">
        <f>IF(T15&lt;=1,0,IF(T15&lt;=1.1,0.42,IF(T15&lt;=1.2,0.42*2,IF(T15&lt;=1.3,0.42*3,IF(T15&lt;=1.4,0.42*4,IF(T15&lt;=1.5,0.42*5,IF(T15&lt;=1.6,0.42*6,IF(T15&lt;=1.7,0.42*7,IF(T15&lt;=1.8,0.42*8,ошибка)))))))))</f>
        <v>0.42</v>
      </c>
      <c r="AB26" s="79"/>
      <c r="AC26" s="79"/>
      <c r="AD26" s="79"/>
      <c r="AE26" s="79"/>
      <c r="AF26" s="79"/>
      <c r="AG26" s="79"/>
      <c r="AH26" s="79"/>
      <c r="AI26" s="79"/>
    </row>
    <row r="27" spans="2:35" ht="17.45" customHeight="1">
      <c r="B27" s="306">
        <v>7</v>
      </c>
      <c r="C27" s="307"/>
      <c r="D27" s="308"/>
      <c r="E27" s="308"/>
      <c r="F27" s="308"/>
      <c r="G27" s="308"/>
      <c r="H27" s="308"/>
      <c r="I27" s="309"/>
      <c r="J27" s="313" t="s">
        <v>96</v>
      </c>
      <c r="K27" s="309"/>
      <c r="L27" s="315">
        <v>50.519700000000007</v>
      </c>
      <c r="M27" s="316"/>
      <c r="N27" s="315">
        <f t="shared" si="0"/>
        <v>90.93546000000002</v>
      </c>
      <c r="O27" s="316"/>
      <c r="Q27" s="295" t="s">
        <v>97</v>
      </c>
      <c r="R27" s="296"/>
      <c r="S27" s="297"/>
      <c r="T27" s="301">
        <f t="shared" ref="T27" si="4">(Y28+Z28+AA28)*$T$18</f>
        <v>45.362389</v>
      </c>
      <c r="U27" s="303">
        <f t="shared" ref="U27" si="5">T27*$C$10</f>
        <v>3084.642452</v>
      </c>
      <c r="V27" s="293">
        <f>T27*$I$10</f>
        <v>81.652300199999999</v>
      </c>
      <c r="W27" s="303">
        <f t="shared" ref="W27" si="6">U27*$I$10</f>
        <v>5552.3564136000005</v>
      </c>
      <c r="X27" s="127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</row>
    <row r="28" spans="2:35" ht="17.45" customHeight="1">
      <c r="B28" s="228"/>
      <c r="C28" s="310"/>
      <c r="D28" s="311"/>
      <c r="E28" s="311"/>
      <c r="F28" s="311"/>
      <c r="G28" s="311"/>
      <c r="H28" s="311"/>
      <c r="I28" s="312"/>
      <c r="J28" s="314"/>
      <c r="K28" s="312"/>
      <c r="L28" s="317"/>
      <c r="M28" s="318"/>
      <c r="N28" s="317"/>
      <c r="O28" s="318"/>
      <c r="Q28" s="331"/>
      <c r="R28" s="332"/>
      <c r="S28" s="333"/>
      <c r="T28" s="334"/>
      <c r="U28" s="319"/>
      <c r="V28" s="294"/>
      <c r="W28" s="319"/>
      <c r="X28" s="127"/>
      <c r="Y28" s="79">
        <f>Y24</f>
        <v>15.162388999999999</v>
      </c>
      <c r="Z28" s="79">
        <f>IF(T14&lt;=0.6,C65,IF(T14&lt;=0.7,D65,IF(T14&lt;=0.8,E65,IF(T14&lt;=0.9,F65,IF(T14&lt;=1,G65,IF(T14&lt;=1.1,H65,IF(T14&lt;=1.2,I65,IF(T14&lt;=1.3,J65,IF(T14&lt;=1.4,K65,IF(T14&lt;=1.5,L65,IF(T14&lt;=1.6,M65,IF(T14&lt;=1.7,N65,IF(T14&lt;=1.8,O65,IF(T14&lt;=1.9,P65,IF(T14&lt;=2,Q65,ошибка)))))))))))))))</f>
        <v>30.2</v>
      </c>
      <c r="AA28" s="79">
        <f>IF(T15&lt;3.01,0,ошибка)</f>
        <v>0</v>
      </c>
      <c r="AB28" s="79"/>
      <c r="AC28" s="79"/>
      <c r="AD28" s="79"/>
      <c r="AE28" s="79"/>
      <c r="AF28" s="79"/>
      <c r="AG28" s="79"/>
      <c r="AH28" s="79"/>
      <c r="AI28" s="79"/>
    </row>
    <row r="29" spans="2:35" ht="17.45" customHeight="1">
      <c r="B29" s="306">
        <v>8</v>
      </c>
      <c r="C29" s="307"/>
      <c r="D29" s="308"/>
      <c r="E29" s="308"/>
      <c r="F29" s="308"/>
      <c r="G29" s="308"/>
      <c r="H29" s="308"/>
      <c r="I29" s="309"/>
      <c r="J29" s="313" t="s">
        <v>98</v>
      </c>
      <c r="K29" s="309"/>
      <c r="L29" s="315">
        <v>65.22120000000001</v>
      </c>
      <c r="M29" s="316"/>
      <c r="N29" s="329">
        <f>L29*$I$10</f>
        <v>117.39816000000002</v>
      </c>
      <c r="O29" s="330"/>
      <c r="Q29" s="295" t="s">
        <v>99</v>
      </c>
      <c r="R29" s="296"/>
      <c r="S29" s="297"/>
      <c r="T29" s="301">
        <f>(Y30+Z30+AA30)*$T$18</f>
        <v>103.682389</v>
      </c>
      <c r="U29" s="303">
        <f t="shared" ref="U29" si="7">T29*$C$10</f>
        <v>7050.4024520000003</v>
      </c>
      <c r="V29" s="293">
        <f>T29*$I$10</f>
        <v>186.62830020000001</v>
      </c>
      <c r="W29" s="303">
        <f t="shared" ref="W29" si="8">U29*$I$10</f>
        <v>12690.724413600001</v>
      </c>
      <c r="X29" s="127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</row>
    <row r="30" spans="2:35" ht="17.45" customHeight="1" thickBot="1">
      <c r="B30" s="320"/>
      <c r="C30" s="323"/>
      <c r="D30" s="324"/>
      <c r="E30" s="324"/>
      <c r="F30" s="324"/>
      <c r="G30" s="324"/>
      <c r="H30" s="324"/>
      <c r="I30" s="325"/>
      <c r="J30" s="326"/>
      <c r="K30" s="325"/>
      <c r="L30" s="327"/>
      <c r="M30" s="328"/>
      <c r="N30" s="327"/>
      <c r="O30" s="328"/>
      <c r="Q30" s="298"/>
      <c r="R30" s="299"/>
      <c r="S30" s="300"/>
      <c r="T30" s="302"/>
      <c r="U30" s="304"/>
      <c r="V30" s="305"/>
      <c r="W30" s="304"/>
      <c r="X30" s="127"/>
      <c r="Y30" s="79">
        <f>Y24</f>
        <v>15.162388999999999</v>
      </c>
      <c r="Z30" s="79">
        <f>IF(T14&lt;=1,C70,IF(T14&lt;=1.1,D70,IF(T14&lt;=1.2,E70,IF(T14&lt;=1.3,F70,IF(T14&lt;=1.4,G70,IF(T14&lt;=1.5,H70,IF(T14&lt;=1.6,I70,IF(T14&lt;=1.7,J70,IF(T14&lt;=1.8,K70,IF(T14&lt;=1.9,L70,IF(T14&lt;=2,M70,IF(T14&lt;=2.1,N70,IF(T14&lt;=2.2,O70,IF(T14&lt;=2.3,P70,IF(T14&lt;=2.4,Q70,IF(T14&lt;=2.5,R70,IF(T14&lt;=2.6,S70,IF(T14&lt;=2.7,T70,IF(T14&lt;=2.8,U70,ошибка)))))))))))))))))))</f>
        <v>88.52</v>
      </c>
      <c r="AA30" s="79">
        <f>IF(T14&lt;3.01,0,ошибка)</f>
        <v>0</v>
      </c>
      <c r="AB30" s="79"/>
      <c r="AC30" s="79"/>
      <c r="AD30" s="79"/>
      <c r="AE30" s="79"/>
      <c r="AF30" s="79"/>
      <c r="AG30" s="79"/>
      <c r="AH30" s="79"/>
      <c r="AI30" s="79"/>
    </row>
    <row r="31" spans="2:35">
      <c r="Q31" s="39"/>
      <c r="R31" s="39"/>
      <c r="S31" s="39"/>
      <c r="T31" s="39"/>
      <c r="U31" s="39"/>
      <c r="V31" s="39"/>
      <c r="W31" s="39"/>
      <c r="X31" s="127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</row>
    <row r="32" spans="2:35">
      <c r="B32" s="43" t="s">
        <v>100</v>
      </c>
      <c r="X32" s="127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</row>
    <row r="33" spans="1:25" ht="10.9" customHeight="1"/>
    <row r="34" spans="1:25">
      <c r="B34" s="44" t="s">
        <v>101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25">
      <c r="B35" s="62" t="s">
        <v>2</v>
      </c>
      <c r="C35" s="63">
        <v>0.4</v>
      </c>
      <c r="D35" s="63">
        <v>0.45</v>
      </c>
      <c r="E35" s="63">
        <v>0.5</v>
      </c>
      <c r="F35" s="63">
        <v>0.55000000000000004</v>
      </c>
      <c r="G35" s="63">
        <v>0.6</v>
      </c>
      <c r="H35" s="63">
        <v>0.65</v>
      </c>
      <c r="I35" s="63">
        <v>0.7</v>
      </c>
      <c r="J35" s="63">
        <v>0.75</v>
      </c>
      <c r="K35" s="63">
        <v>0.8</v>
      </c>
      <c r="L35" s="63">
        <v>0.85</v>
      </c>
      <c r="M35" s="63">
        <v>0.9</v>
      </c>
      <c r="N35" s="63">
        <v>0.95</v>
      </c>
      <c r="O35" s="63">
        <v>1</v>
      </c>
      <c r="P35" s="63">
        <v>1.05</v>
      </c>
      <c r="Q35" s="63">
        <v>1.1000000000000001</v>
      </c>
      <c r="R35" s="63">
        <v>1.1499999999999999</v>
      </c>
      <c r="S35" s="63">
        <v>1.2</v>
      </c>
      <c r="T35" s="63">
        <v>1.25</v>
      </c>
      <c r="U35" s="63">
        <v>1.3</v>
      </c>
      <c r="V35" s="63">
        <v>1.35</v>
      </c>
      <c r="W35" s="63">
        <v>1.4</v>
      </c>
      <c r="X35" s="63">
        <v>1.45</v>
      </c>
      <c r="Y35" s="63">
        <v>1.5</v>
      </c>
    </row>
    <row r="36" spans="1:25">
      <c r="B36" s="64" t="s">
        <v>3</v>
      </c>
      <c r="C36" s="65">
        <v>11.401</v>
      </c>
      <c r="D36" s="65">
        <v>11.674000000000001</v>
      </c>
      <c r="E36" s="65">
        <v>11.946999999999999</v>
      </c>
      <c r="F36" s="65">
        <v>12.233000000000001</v>
      </c>
      <c r="G36" s="65">
        <v>12.506000000000002</v>
      </c>
      <c r="H36" s="65">
        <v>12.779</v>
      </c>
      <c r="I36" s="65">
        <v>13.052</v>
      </c>
      <c r="J36" s="65">
        <v>13.338000000000001</v>
      </c>
      <c r="K36" s="65">
        <v>13.610999999999999</v>
      </c>
      <c r="L36" s="65">
        <v>13.884</v>
      </c>
      <c r="M36" s="65">
        <v>14.169999999999998</v>
      </c>
      <c r="N36" s="65">
        <v>14.443</v>
      </c>
      <c r="O36" s="65">
        <v>14.716000000000001</v>
      </c>
      <c r="P36" s="65">
        <v>14.989000000000003</v>
      </c>
      <c r="Q36" s="65">
        <v>15.275</v>
      </c>
      <c r="R36" s="65">
        <v>15.548000000000002</v>
      </c>
      <c r="S36" s="65">
        <v>15.820999999999998</v>
      </c>
      <c r="T36" s="65">
        <v>16.093999999999998</v>
      </c>
      <c r="U36" s="65">
        <v>16.380000000000003</v>
      </c>
      <c r="V36" s="65">
        <v>16.652999999999999</v>
      </c>
      <c r="W36" s="65">
        <v>16.925999999999998</v>
      </c>
      <c r="X36" s="65">
        <v>17.212</v>
      </c>
      <c r="Y36" s="65">
        <v>17.484999999999999</v>
      </c>
    </row>
    <row r="37" spans="1:25">
      <c r="B37" s="64" t="s">
        <v>4</v>
      </c>
      <c r="C37" s="65">
        <f>C36*$I$10</f>
        <v>20.521799999999999</v>
      </c>
      <c r="D37" s="65">
        <f t="shared" ref="D37:Y37" si="9">D36*$I$10</f>
        <v>21.013200000000001</v>
      </c>
      <c r="E37" s="65">
        <f t="shared" si="9"/>
        <v>21.5046</v>
      </c>
      <c r="F37" s="65">
        <f t="shared" si="9"/>
        <v>22.019400000000001</v>
      </c>
      <c r="G37" s="65">
        <f t="shared" si="9"/>
        <v>22.510800000000003</v>
      </c>
      <c r="H37" s="65">
        <f t="shared" si="9"/>
        <v>23.002200000000002</v>
      </c>
      <c r="I37" s="65">
        <f t="shared" si="9"/>
        <v>23.493600000000001</v>
      </c>
      <c r="J37" s="65">
        <f t="shared" si="9"/>
        <v>24.008400000000002</v>
      </c>
      <c r="K37" s="65">
        <f t="shared" si="9"/>
        <v>24.499799999999997</v>
      </c>
      <c r="L37" s="65">
        <f t="shared" si="9"/>
        <v>24.991200000000003</v>
      </c>
      <c r="M37" s="65">
        <f t="shared" si="9"/>
        <v>25.505999999999997</v>
      </c>
      <c r="N37" s="65">
        <f t="shared" si="9"/>
        <v>25.997399999999999</v>
      </c>
      <c r="O37" s="65">
        <f t="shared" si="9"/>
        <v>26.488800000000001</v>
      </c>
      <c r="P37" s="65">
        <f t="shared" si="9"/>
        <v>26.980200000000004</v>
      </c>
      <c r="Q37" s="65">
        <f t="shared" si="9"/>
        <v>27.495000000000001</v>
      </c>
      <c r="R37" s="65">
        <f t="shared" si="9"/>
        <v>27.986400000000003</v>
      </c>
      <c r="S37" s="65">
        <f t="shared" si="9"/>
        <v>28.477799999999998</v>
      </c>
      <c r="T37" s="65">
        <f t="shared" si="9"/>
        <v>28.969199999999997</v>
      </c>
      <c r="U37" s="65">
        <f t="shared" si="9"/>
        <v>29.484000000000005</v>
      </c>
      <c r="V37" s="65">
        <f t="shared" si="9"/>
        <v>29.975399999999997</v>
      </c>
      <c r="W37" s="65">
        <f t="shared" si="9"/>
        <v>30.466799999999999</v>
      </c>
      <c r="X37" s="65">
        <f t="shared" si="9"/>
        <v>30.9816</v>
      </c>
      <c r="Y37" s="65">
        <f t="shared" si="9"/>
        <v>31.472999999999999</v>
      </c>
    </row>
    <row r="39" spans="1:25">
      <c r="B39" s="44" t="s">
        <v>102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25">
      <c r="B40" s="62" t="s">
        <v>2</v>
      </c>
      <c r="C40" s="63">
        <v>0.4</v>
      </c>
      <c r="D40" s="63">
        <v>0.45</v>
      </c>
      <c r="E40" s="63">
        <v>0.5</v>
      </c>
      <c r="F40" s="63">
        <v>0.55000000000000004</v>
      </c>
      <c r="G40" s="63">
        <v>0.6</v>
      </c>
      <c r="H40" s="63">
        <v>0.65</v>
      </c>
      <c r="I40" s="63">
        <v>0.7</v>
      </c>
      <c r="J40" s="63">
        <v>0.75</v>
      </c>
      <c r="K40" s="63">
        <v>0.8</v>
      </c>
      <c r="L40" s="63">
        <v>0.85</v>
      </c>
      <c r="M40" s="63">
        <v>0.9</v>
      </c>
      <c r="N40" s="63">
        <v>0.95</v>
      </c>
      <c r="O40" s="63">
        <v>1</v>
      </c>
      <c r="P40" s="63">
        <v>1.05</v>
      </c>
      <c r="Q40" s="63">
        <v>1.1000000000000001</v>
      </c>
      <c r="R40" s="63">
        <v>1.1499999999999999</v>
      </c>
      <c r="S40" s="63">
        <v>1.2</v>
      </c>
      <c r="U40" s="43" t="s">
        <v>103</v>
      </c>
    </row>
    <row r="41" spans="1:25">
      <c r="A41" s="66" t="s">
        <v>3</v>
      </c>
      <c r="B41" s="282">
        <v>1</v>
      </c>
      <c r="C41" s="65">
        <v>18.032</v>
      </c>
      <c r="D41" s="65">
        <v>18.577999999999999</v>
      </c>
      <c r="E41" s="65">
        <v>19.123999999999999</v>
      </c>
      <c r="F41" s="65">
        <v>19.669999999999998</v>
      </c>
      <c r="G41" s="65">
        <v>20.201999999999998</v>
      </c>
      <c r="H41" s="65">
        <v>20.747999999999998</v>
      </c>
      <c r="I41" s="65">
        <v>21.294</v>
      </c>
      <c r="J41" s="65">
        <v>21.84</v>
      </c>
      <c r="K41" s="65">
        <v>22.385999999999999</v>
      </c>
      <c r="L41" s="65">
        <v>22.931999999999999</v>
      </c>
      <c r="M41" s="65">
        <v>23.477999999999998</v>
      </c>
      <c r="N41" s="65">
        <v>24.023999999999997</v>
      </c>
      <c r="O41" s="65">
        <v>24.57</v>
      </c>
      <c r="P41" s="65">
        <v>25.116</v>
      </c>
      <c r="Q41" s="65">
        <v>25.661999999999995</v>
      </c>
      <c r="R41" s="65">
        <v>26.207999999999998</v>
      </c>
      <c r="S41" s="65">
        <v>26.740000000000002</v>
      </c>
      <c r="U41" s="292" t="s">
        <v>104</v>
      </c>
      <c r="V41" s="292"/>
      <c r="W41" s="292"/>
      <c r="X41" s="292"/>
      <c r="Y41" s="292"/>
    </row>
    <row r="42" spans="1:25">
      <c r="A42" s="66" t="s">
        <v>4</v>
      </c>
      <c r="B42" s="283"/>
      <c r="C42" s="67">
        <f>C41*$I$10</f>
        <v>32.457599999999999</v>
      </c>
      <c r="D42" s="67">
        <f t="shared" ref="D42:S42" si="10">D41*$I$10</f>
        <v>33.440399999999997</v>
      </c>
      <c r="E42" s="67">
        <f t="shared" si="10"/>
        <v>34.423200000000001</v>
      </c>
      <c r="F42" s="67">
        <f t="shared" si="10"/>
        <v>35.405999999999999</v>
      </c>
      <c r="G42" s="67">
        <f t="shared" si="10"/>
        <v>36.363599999999998</v>
      </c>
      <c r="H42" s="67">
        <f t="shared" si="10"/>
        <v>37.346399999999996</v>
      </c>
      <c r="I42" s="67">
        <f t="shared" si="10"/>
        <v>38.3292</v>
      </c>
      <c r="J42" s="67">
        <f t="shared" si="10"/>
        <v>39.311999999999998</v>
      </c>
      <c r="K42" s="67">
        <f t="shared" si="10"/>
        <v>40.294800000000002</v>
      </c>
      <c r="L42" s="67">
        <f t="shared" si="10"/>
        <v>41.2776</v>
      </c>
      <c r="M42" s="67">
        <f t="shared" si="10"/>
        <v>42.260399999999997</v>
      </c>
      <c r="N42" s="67">
        <f t="shared" si="10"/>
        <v>43.243199999999995</v>
      </c>
      <c r="O42" s="67">
        <f t="shared" si="10"/>
        <v>44.225999999999999</v>
      </c>
      <c r="P42" s="67">
        <f t="shared" si="10"/>
        <v>45.208800000000004</v>
      </c>
      <c r="Q42" s="67">
        <f t="shared" si="10"/>
        <v>46.191599999999994</v>
      </c>
      <c r="R42" s="67">
        <f t="shared" si="10"/>
        <v>47.174399999999999</v>
      </c>
      <c r="S42" s="67">
        <f t="shared" si="10"/>
        <v>48.132000000000005</v>
      </c>
      <c r="U42" s="292"/>
      <c r="V42" s="292"/>
      <c r="W42" s="292"/>
      <c r="X42" s="292"/>
      <c r="Y42" s="292"/>
    </row>
    <row r="43" spans="1:25">
      <c r="B43" s="282">
        <v>1.1000000000000001</v>
      </c>
      <c r="C43" s="65">
        <v>18.451999999999998</v>
      </c>
      <c r="D43" s="65">
        <v>18.997999999999998</v>
      </c>
      <c r="E43" s="65">
        <v>19.529999999999998</v>
      </c>
      <c r="F43" s="65">
        <v>20.075999999999997</v>
      </c>
      <c r="G43" s="65">
        <v>20.622</v>
      </c>
      <c r="H43" s="65">
        <v>21.167999999999999</v>
      </c>
      <c r="I43" s="65">
        <v>21.713999999999999</v>
      </c>
      <c r="J43" s="65">
        <v>22.259999999999998</v>
      </c>
      <c r="K43" s="65">
        <v>22.805999999999997</v>
      </c>
      <c r="L43" s="65">
        <v>23.351999999999997</v>
      </c>
      <c r="M43" s="65">
        <v>23.898</v>
      </c>
      <c r="N43" s="65">
        <v>24.443999999999999</v>
      </c>
      <c r="O43" s="65">
        <v>24.990000000000002</v>
      </c>
      <c r="P43" s="65">
        <v>25.535999999999998</v>
      </c>
      <c r="Q43" s="65">
        <v>26.068000000000001</v>
      </c>
      <c r="R43" s="65">
        <v>26.614000000000001</v>
      </c>
      <c r="S43" s="65">
        <v>27.159999999999997</v>
      </c>
      <c r="U43" s="292"/>
      <c r="V43" s="292"/>
      <c r="W43" s="292"/>
      <c r="X43" s="292"/>
      <c r="Y43" s="292"/>
    </row>
    <row r="44" spans="1:25">
      <c r="B44" s="283"/>
      <c r="C44" s="67">
        <f>C43*$I$10</f>
        <v>33.2136</v>
      </c>
      <c r="D44" s="67">
        <f t="shared" ref="D44:S44" si="11">D43*$I$10</f>
        <v>34.196399999999997</v>
      </c>
      <c r="E44" s="67">
        <f t="shared" si="11"/>
        <v>35.153999999999996</v>
      </c>
      <c r="F44" s="67">
        <f t="shared" si="11"/>
        <v>36.136799999999994</v>
      </c>
      <c r="G44" s="67">
        <f t="shared" si="11"/>
        <v>37.119599999999998</v>
      </c>
      <c r="H44" s="67">
        <f t="shared" si="11"/>
        <v>38.102400000000003</v>
      </c>
      <c r="I44" s="67">
        <f t="shared" si="11"/>
        <v>39.0852</v>
      </c>
      <c r="J44" s="67">
        <f t="shared" si="11"/>
        <v>40.067999999999998</v>
      </c>
      <c r="K44" s="67">
        <f t="shared" si="11"/>
        <v>41.050799999999995</v>
      </c>
      <c r="L44" s="67">
        <f t="shared" si="11"/>
        <v>42.033599999999993</v>
      </c>
      <c r="M44" s="67">
        <f t="shared" si="11"/>
        <v>43.016399999999997</v>
      </c>
      <c r="N44" s="67">
        <f t="shared" si="11"/>
        <v>43.999200000000002</v>
      </c>
      <c r="O44" s="67">
        <f t="shared" si="11"/>
        <v>44.982000000000006</v>
      </c>
      <c r="P44" s="67">
        <f t="shared" si="11"/>
        <v>45.964799999999997</v>
      </c>
      <c r="Q44" s="67">
        <f t="shared" si="11"/>
        <v>46.922400000000003</v>
      </c>
      <c r="R44" s="67">
        <f t="shared" si="11"/>
        <v>47.905200000000001</v>
      </c>
      <c r="S44" s="67">
        <f t="shared" si="11"/>
        <v>48.887999999999998</v>
      </c>
    </row>
    <row r="45" spans="1:25">
      <c r="B45" s="282">
        <v>1.2</v>
      </c>
      <c r="C45" s="65">
        <v>18.872</v>
      </c>
      <c r="D45" s="65">
        <v>19.417999999999999</v>
      </c>
      <c r="E45" s="65">
        <v>19.95</v>
      </c>
      <c r="F45" s="65">
        <v>20.495999999999999</v>
      </c>
      <c r="G45" s="65">
        <v>21.041999999999998</v>
      </c>
      <c r="H45" s="65">
        <v>21.587999999999997</v>
      </c>
      <c r="I45" s="65">
        <v>22.134</v>
      </c>
      <c r="J45" s="65">
        <v>22.679999999999996</v>
      </c>
      <c r="K45" s="65">
        <v>23.225999999999999</v>
      </c>
      <c r="L45" s="65">
        <v>23.771999999999998</v>
      </c>
      <c r="M45" s="65">
        <v>24.318000000000001</v>
      </c>
      <c r="N45" s="65">
        <v>24.864000000000001</v>
      </c>
      <c r="O45" s="65">
        <v>25.409999999999997</v>
      </c>
      <c r="P45" s="65">
        <v>25.942</v>
      </c>
      <c r="Q45" s="65">
        <v>26.488</v>
      </c>
      <c r="R45" s="65">
        <v>27.033999999999995</v>
      </c>
      <c r="S45" s="65">
        <v>27.58</v>
      </c>
      <c r="U45" s="36" t="s">
        <v>105</v>
      </c>
      <c r="V45" s="68" t="s">
        <v>106</v>
      </c>
    </row>
    <row r="46" spans="1:25">
      <c r="B46" s="283"/>
      <c r="C46" s="67">
        <f>C45*$I$10</f>
        <v>33.9696</v>
      </c>
      <c r="D46" s="67">
        <f t="shared" ref="D46:S46" si="12">D45*$I$10</f>
        <v>34.952399999999997</v>
      </c>
      <c r="E46" s="67">
        <f t="shared" si="12"/>
        <v>35.909999999999997</v>
      </c>
      <c r="F46" s="67">
        <f t="shared" si="12"/>
        <v>36.892800000000001</v>
      </c>
      <c r="G46" s="67">
        <f t="shared" si="12"/>
        <v>37.875599999999999</v>
      </c>
      <c r="H46" s="67">
        <f t="shared" si="12"/>
        <v>38.858399999999996</v>
      </c>
      <c r="I46" s="67">
        <f t="shared" si="12"/>
        <v>39.841200000000001</v>
      </c>
      <c r="J46" s="67">
        <f t="shared" si="12"/>
        <v>40.823999999999991</v>
      </c>
      <c r="K46" s="67">
        <f t="shared" si="12"/>
        <v>41.806800000000003</v>
      </c>
      <c r="L46" s="67">
        <f t="shared" si="12"/>
        <v>42.7896</v>
      </c>
      <c r="M46" s="67">
        <f t="shared" si="12"/>
        <v>43.772400000000005</v>
      </c>
      <c r="N46" s="67">
        <f t="shared" si="12"/>
        <v>44.755200000000002</v>
      </c>
      <c r="O46" s="67">
        <f t="shared" si="12"/>
        <v>45.737999999999992</v>
      </c>
      <c r="P46" s="67">
        <f t="shared" si="12"/>
        <v>46.695599999999999</v>
      </c>
      <c r="Q46" s="67">
        <f t="shared" si="12"/>
        <v>47.678400000000003</v>
      </c>
      <c r="R46" s="67">
        <f t="shared" si="12"/>
        <v>48.661199999999994</v>
      </c>
      <c r="S46" s="67">
        <f t="shared" si="12"/>
        <v>49.643999999999998</v>
      </c>
    </row>
    <row r="47" spans="1:25">
      <c r="B47" s="282">
        <v>1.3</v>
      </c>
      <c r="C47" s="65">
        <v>19.291999999999998</v>
      </c>
      <c r="D47" s="65">
        <v>19.823999999999998</v>
      </c>
      <c r="E47" s="65">
        <v>20.37</v>
      </c>
      <c r="F47" s="65">
        <v>20.915999999999997</v>
      </c>
      <c r="G47" s="65">
        <v>21.462</v>
      </c>
      <c r="H47" s="65">
        <v>22.007999999999999</v>
      </c>
      <c r="I47" s="65">
        <v>22.553999999999998</v>
      </c>
      <c r="J47" s="65">
        <v>23.099999999999998</v>
      </c>
      <c r="K47" s="65">
        <v>23.646000000000001</v>
      </c>
      <c r="L47" s="65">
        <v>24.192</v>
      </c>
      <c r="M47" s="65">
        <v>24.738</v>
      </c>
      <c r="N47" s="65">
        <v>25.283999999999995</v>
      </c>
      <c r="O47" s="65">
        <v>25.815999999999999</v>
      </c>
      <c r="P47" s="65">
        <v>26.361999999999995</v>
      </c>
      <c r="Q47" s="65">
        <v>26.907999999999998</v>
      </c>
      <c r="R47" s="65">
        <v>27.453999999999997</v>
      </c>
      <c r="S47" s="65">
        <v>28</v>
      </c>
      <c r="V47" s="68"/>
    </row>
    <row r="48" spans="1:25">
      <c r="B48" s="283"/>
      <c r="C48" s="67">
        <f>C47*$I$10</f>
        <v>34.7256</v>
      </c>
      <c r="D48" s="67">
        <f t="shared" ref="D48:S48" si="13">D47*$I$10</f>
        <v>35.683199999999999</v>
      </c>
      <c r="E48" s="67">
        <f t="shared" si="13"/>
        <v>36.666000000000004</v>
      </c>
      <c r="F48" s="67">
        <f t="shared" si="13"/>
        <v>37.648799999999994</v>
      </c>
      <c r="G48" s="67">
        <f t="shared" si="13"/>
        <v>38.631599999999999</v>
      </c>
      <c r="H48" s="67">
        <f t="shared" si="13"/>
        <v>39.614399999999996</v>
      </c>
      <c r="I48" s="67">
        <f t="shared" si="13"/>
        <v>40.597200000000001</v>
      </c>
      <c r="J48" s="67">
        <f t="shared" si="13"/>
        <v>41.58</v>
      </c>
      <c r="K48" s="67">
        <f t="shared" si="13"/>
        <v>42.562800000000003</v>
      </c>
      <c r="L48" s="67">
        <f t="shared" si="13"/>
        <v>43.5456</v>
      </c>
      <c r="M48" s="67">
        <f t="shared" si="13"/>
        <v>44.528399999999998</v>
      </c>
      <c r="N48" s="67">
        <f t="shared" si="13"/>
        <v>45.511199999999995</v>
      </c>
      <c r="O48" s="67">
        <f t="shared" si="13"/>
        <v>46.468800000000002</v>
      </c>
      <c r="P48" s="67">
        <f t="shared" si="13"/>
        <v>47.451599999999992</v>
      </c>
      <c r="Q48" s="67">
        <f t="shared" si="13"/>
        <v>48.434399999999997</v>
      </c>
      <c r="R48" s="67">
        <f t="shared" si="13"/>
        <v>49.417199999999994</v>
      </c>
      <c r="S48" s="67">
        <f t="shared" si="13"/>
        <v>50.4</v>
      </c>
    </row>
    <row r="49" spans="2:22">
      <c r="B49" s="282">
        <v>1.4</v>
      </c>
      <c r="C49" s="65">
        <v>19.698</v>
      </c>
      <c r="D49" s="65">
        <v>20.244</v>
      </c>
      <c r="E49" s="65">
        <v>20.79</v>
      </c>
      <c r="F49" s="65">
        <v>21.335999999999999</v>
      </c>
      <c r="G49" s="65">
        <v>21.882000000000001</v>
      </c>
      <c r="H49" s="65">
        <v>22.427999999999997</v>
      </c>
      <c r="I49" s="65">
        <v>22.974</v>
      </c>
      <c r="J49" s="65">
        <v>23.52</v>
      </c>
      <c r="K49" s="65">
        <v>24.065999999999999</v>
      </c>
      <c r="L49" s="65">
        <v>24.611999999999995</v>
      </c>
      <c r="M49" s="65">
        <v>25.157999999999998</v>
      </c>
      <c r="N49" s="65">
        <v>25.69</v>
      </c>
      <c r="O49" s="65">
        <v>26.235999999999997</v>
      </c>
      <c r="P49" s="65">
        <v>26.781999999999996</v>
      </c>
      <c r="Q49" s="65">
        <v>27.327999999999999</v>
      </c>
      <c r="R49" s="65">
        <v>27.873999999999999</v>
      </c>
      <c r="S49" s="65">
        <v>28.419999999999998</v>
      </c>
      <c r="V49" s="68"/>
    </row>
    <row r="50" spans="2:22">
      <c r="B50" s="283"/>
      <c r="C50" s="67">
        <f>C49*$I$10</f>
        <v>35.456400000000002</v>
      </c>
      <c r="D50" s="67">
        <f t="shared" ref="D50:S50" si="14">D49*$I$10</f>
        <v>36.4392</v>
      </c>
      <c r="E50" s="67">
        <f t="shared" si="14"/>
        <v>37.421999999999997</v>
      </c>
      <c r="F50" s="67">
        <f t="shared" si="14"/>
        <v>38.404800000000002</v>
      </c>
      <c r="G50" s="67">
        <f t="shared" si="14"/>
        <v>39.387600000000006</v>
      </c>
      <c r="H50" s="67">
        <f t="shared" si="14"/>
        <v>40.370399999999997</v>
      </c>
      <c r="I50" s="67">
        <f t="shared" si="14"/>
        <v>41.353200000000001</v>
      </c>
      <c r="J50" s="67">
        <f t="shared" si="14"/>
        <v>42.335999999999999</v>
      </c>
      <c r="K50" s="67">
        <f t="shared" si="14"/>
        <v>43.318799999999996</v>
      </c>
      <c r="L50" s="67">
        <f t="shared" si="14"/>
        <v>44.301599999999993</v>
      </c>
      <c r="M50" s="67">
        <f t="shared" si="14"/>
        <v>45.284399999999998</v>
      </c>
      <c r="N50" s="67">
        <f t="shared" si="14"/>
        <v>46.242000000000004</v>
      </c>
      <c r="O50" s="67">
        <f t="shared" si="14"/>
        <v>47.224799999999995</v>
      </c>
      <c r="P50" s="67">
        <f t="shared" si="14"/>
        <v>48.207599999999992</v>
      </c>
      <c r="Q50" s="67">
        <f t="shared" si="14"/>
        <v>49.190399999999997</v>
      </c>
      <c r="R50" s="67">
        <f t="shared" si="14"/>
        <v>50.173200000000001</v>
      </c>
      <c r="S50" s="67">
        <f t="shared" si="14"/>
        <v>51.155999999999999</v>
      </c>
    </row>
    <row r="51" spans="2:22">
      <c r="B51" s="282">
        <v>1.5</v>
      </c>
      <c r="C51" s="65">
        <v>20.117999999999999</v>
      </c>
      <c r="D51" s="65">
        <v>20.663999999999998</v>
      </c>
      <c r="E51" s="65">
        <v>21.21</v>
      </c>
      <c r="F51" s="65">
        <v>21.755999999999997</v>
      </c>
      <c r="G51" s="65">
        <v>22.302</v>
      </c>
      <c r="H51" s="65">
        <v>22.847999999999999</v>
      </c>
      <c r="I51" s="65">
        <v>23.393999999999998</v>
      </c>
      <c r="J51" s="65">
        <v>23.94</v>
      </c>
      <c r="K51" s="65">
        <v>24.485999999999997</v>
      </c>
      <c r="L51" s="65">
        <v>25.031999999999996</v>
      </c>
      <c r="M51" s="65">
        <v>25.577999999999999</v>
      </c>
      <c r="N51" s="65">
        <v>26.109999999999996</v>
      </c>
      <c r="O51" s="65">
        <v>26.655999999999999</v>
      </c>
      <c r="P51" s="65">
        <v>27.201999999999998</v>
      </c>
      <c r="Q51" s="65">
        <v>27.747999999999998</v>
      </c>
      <c r="R51" s="65">
        <v>28.294</v>
      </c>
      <c r="S51" s="65">
        <v>28.84</v>
      </c>
      <c r="U51" s="36" t="s">
        <v>107</v>
      </c>
      <c r="V51" s="68" t="s">
        <v>108</v>
      </c>
    </row>
    <row r="52" spans="2:22">
      <c r="B52" s="283"/>
      <c r="C52" s="67">
        <f>C51*$I$10</f>
        <v>36.212399999999995</v>
      </c>
      <c r="D52" s="67">
        <f t="shared" ref="D52:S52" si="15">D51*$I$10</f>
        <v>37.1952</v>
      </c>
      <c r="E52" s="67">
        <f t="shared" si="15"/>
        <v>38.178000000000004</v>
      </c>
      <c r="F52" s="67">
        <f t="shared" si="15"/>
        <v>39.160799999999995</v>
      </c>
      <c r="G52" s="67">
        <f t="shared" si="15"/>
        <v>40.143599999999999</v>
      </c>
      <c r="H52" s="67">
        <f t="shared" si="15"/>
        <v>41.126399999999997</v>
      </c>
      <c r="I52" s="67">
        <f t="shared" si="15"/>
        <v>42.109200000000001</v>
      </c>
      <c r="J52" s="67">
        <f t="shared" si="15"/>
        <v>43.092000000000006</v>
      </c>
      <c r="K52" s="67">
        <f t="shared" si="15"/>
        <v>44.074799999999996</v>
      </c>
      <c r="L52" s="67">
        <f t="shared" si="15"/>
        <v>45.057599999999994</v>
      </c>
      <c r="M52" s="67">
        <f t="shared" si="15"/>
        <v>46.040399999999998</v>
      </c>
      <c r="N52" s="67">
        <f t="shared" si="15"/>
        <v>46.99799999999999</v>
      </c>
      <c r="O52" s="67">
        <f t="shared" si="15"/>
        <v>47.980800000000002</v>
      </c>
      <c r="P52" s="67">
        <f t="shared" si="15"/>
        <v>48.9636</v>
      </c>
      <c r="Q52" s="67">
        <f t="shared" si="15"/>
        <v>49.946399999999997</v>
      </c>
      <c r="R52" s="67">
        <f t="shared" si="15"/>
        <v>50.929200000000002</v>
      </c>
      <c r="S52" s="67">
        <f t="shared" si="15"/>
        <v>51.911999999999999</v>
      </c>
    </row>
    <row r="53" spans="2:22">
      <c r="B53" s="282">
        <v>1.6</v>
      </c>
      <c r="C53" s="65">
        <v>20.538</v>
      </c>
      <c r="D53" s="65">
        <v>21.084</v>
      </c>
      <c r="E53" s="65">
        <v>21.63</v>
      </c>
      <c r="F53" s="65">
        <v>22.175999999999998</v>
      </c>
      <c r="G53" s="65">
        <v>22.721999999999998</v>
      </c>
      <c r="H53" s="65">
        <v>23.268000000000001</v>
      </c>
      <c r="I53" s="65">
        <v>23.814</v>
      </c>
      <c r="J53" s="65">
        <v>24.359999999999996</v>
      </c>
      <c r="K53" s="65">
        <v>24.891999999999999</v>
      </c>
      <c r="L53" s="65">
        <v>25.438000000000002</v>
      </c>
      <c r="M53" s="65">
        <v>25.983999999999998</v>
      </c>
      <c r="N53" s="65">
        <v>26.529999999999998</v>
      </c>
      <c r="O53" s="65">
        <v>27.075999999999997</v>
      </c>
      <c r="P53" s="65">
        <v>27.622</v>
      </c>
      <c r="Q53" s="65">
        <v>28.181999999999995</v>
      </c>
      <c r="R53" s="65">
        <v>28.713999999999999</v>
      </c>
      <c r="S53" s="65">
        <v>29.259999999999994</v>
      </c>
      <c r="V53" s="68"/>
    </row>
    <row r="54" spans="2:22">
      <c r="B54" s="283"/>
      <c r="C54" s="67">
        <f>C53*$I$10</f>
        <v>36.968400000000003</v>
      </c>
      <c r="D54" s="67">
        <f t="shared" ref="D54:S54" si="16">D53*$I$10</f>
        <v>37.9512</v>
      </c>
      <c r="E54" s="67">
        <f t="shared" si="16"/>
        <v>38.933999999999997</v>
      </c>
      <c r="F54" s="67">
        <f t="shared" si="16"/>
        <v>39.916799999999995</v>
      </c>
      <c r="G54" s="67">
        <f t="shared" si="16"/>
        <v>40.8996</v>
      </c>
      <c r="H54" s="67">
        <f t="shared" si="16"/>
        <v>41.882400000000004</v>
      </c>
      <c r="I54" s="67">
        <f t="shared" si="16"/>
        <v>42.865200000000002</v>
      </c>
      <c r="J54" s="67">
        <f t="shared" si="16"/>
        <v>43.847999999999992</v>
      </c>
      <c r="K54" s="67">
        <f t="shared" si="16"/>
        <v>44.805599999999998</v>
      </c>
      <c r="L54" s="67">
        <f t="shared" si="16"/>
        <v>45.788400000000003</v>
      </c>
      <c r="M54" s="67">
        <f t="shared" si="16"/>
        <v>46.7712</v>
      </c>
      <c r="N54" s="67">
        <f t="shared" si="16"/>
        <v>47.753999999999998</v>
      </c>
      <c r="O54" s="67">
        <f t="shared" si="16"/>
        <v>48.736799999999995</v>
      </c>
      <c r="P54" s="67">
        <f t="shared" si="16"/>
        <v>49.7196</v>
      </c>
      <c r="Q54" s="67">
        <f t="shared" si="16"/>
        <v>50.727599999999995</v>
      </c>
      <c r="R54" s="67">
        <f t="shared" si="16"/>
        <v>51.685200000000002</v>
      </c>
      <c r="S54" s="67">
        <f t="shared" si="16"/>
        <v>52.667999999999992</v>
      </c>
    </row>
    <row r="55" spans="2:22">
      <c r="B55" s="282">
        <v>1.7</v>
      </c>
      <c r="C55" s="65">
        <v>20.957999999999998</v>
      </c>
      <c r="D55" s="65">
        <v>21.503999999999998</v>
      </c>
      <c r="E55" s="65">
        <v>22.049999999999997</v>
      </c>
      <c r="F55" s="65">
        <v>22.596</v>
      </c>
      <c r="G55" s="65">
        <v>23.141999999999999</v>
      </c>
      <c r="H55" s="65">
        <v>23.688000000000002</v>
      </c>
      <c r="I55" s="65">
        <v>24.233999999999998</v>
      </c>
      <c r="J55" s="65">
        <v>24.766000000000002</v>
      </c>
      <c r="K55" s="65">
        <v>25.311999999999998</v>
      </c>
      <c r="L55" s="65">
        <v>25.857999999999997</v>
      </c>
      <c r="M55" s="65">
        <v>26.403999999999996</v>
      </c>
      <c r="N55" s="65">
        <v>26.95</v>
      </c>
      <c r="O55" s="65">
        <v>27.495999999999999</v>
      </c>
      <c r="P55" s="65">
        <v>28.041999999999998</v>
      </c>
      <c r="Q55" s="65">
        <v>28.588000000000001</v>
      </c>
      <c r="R55" s="65">
        <v>29.133999999999997</v>
      </c>
      <c r="S55" s="65">
        <v>29.679999999999996</v>
      </c>
      <c r="V55" s="68"/>
    </row>
    <row r="56" spans="2:22">
      <c r="B56" s="283"/>
      <c r="C56" s="67">
        <f>C55*$I$10</f>
        <v>37.724399999999996</v>
      </c>
      <c r="D56" s="67">
        <f t="shared" ref="D56:S56" si="17">D55*$I$10</f>
        <v>38.7072</v>
      </c>
      <c r="E56" s="67">
        <f t="shared" si="17"/>
        <v>39.69</v>
      </c>
      <c r="F56" s="67">
        <f t="shared" si="17"/>
        <v>40.672800000000002</v>
      </c>
      <c r="G56" s="67">
        <f t="shared" si="17"/>
        <v>41.6556</v>
      </c>
      <c r="H56" s="67">
        <f t="shared" si="17"/>
        <v>42.638400000000004</v>
      </c>
      <c r="I56" s="67">
        <f t="shared" si="17"/>
        <v>43.621199999999995</v>
      </c>
      <c r="J56" s="67">
        <f t="shared" si="17"/>
        <v>44.578800000000001</v>
      </c>
      <c r="K56" s="67">
        <f t="shared" si="17"/>
        <v>45.561599999999999</v>
      </c>
      <c r="L56" s="67">
        <f t="shared" si="17"/>
        <v>46.544399999999996</v>
      </c>
      <c r="M56" s="67">
        <f t="shared" si="17"/>
        <v>47.527199999999993</v>
      </c>
      <c r="N56" s="67">
        <f t="shared" si="17"/>
        <v>48.51</v>
      </c>
      <c r="O56" s="67">
        <f t="shared" si="17"/>
        <v>49.492799999999995</v>
      </c>
      <c r="P56" s="67">
        <f t="shared" si="17"/>
        <v>50.4756</v>
      </c>
      <c r="Q56" s="67">
        <f t="shared" si="17"/>
        <v>51.458400000000005</v>
      </c>
      <c r="R56" s="67">
        <f t="shared" si="17"/>
        <v>52.441199999999995</v>
      </c>
      <c r="S56" s="67">
        <f t="shared" si="17"/>
        <v>53.423999999999992</v>
      </c>
    </row>
    <row r="57" spans="2:22">
      <c r="B57" s="282">
        <v>1.8</v>
      </c>
      <c r="C57" s="65">
        <v>21.377999999999997</v>
      </c>
      <c r="D57" s="65">
        <v>21.923999999999999</v>
      </c>
      <c r="E57" s="65">
        <v>22.47</v>
      </c>
      <c r="F57" s="65">
        <v>23.016000000000002</v>
      </c>
      <c r="G57" s="65">
        <v>23.561999999999998</v>
      </c>
      <c r="H57" s="65">
        <v>24.107999999999997</v>
      </c>
      <c r="I57" s="65">
        <v>24.64</v>
      </c>
      <c r="J57" s="65">
        <v>25.185999999999996</v>
      </c>
      <c r="K57" s="65">
        <v>25.731999999999996</v>
      </c>
      <c r="L57" s="65">
        <v>26.277999999999999</v>
      </c>
      <c r="M57" s="65">
        <v>26.823999999999998</v>
      </c>
      <c r="N57" s="65">
        <v>27.37</v>
      </c>
      <c r="O57" s="65">
        <v>27.916</v>
      </c>
      <c r="P57" s="65">
        <v>28.461999999999996</v>
      </c>
      <c r="Q57" s="65">
        <v>29.007999999999996</v>
      </c>
      <c r="R57" s="65">
        <v>29.553999999999998</v>
      </c>
      <c r="S57" s="65">
        <v>30.099999999999998</v>
      </c>
      <c r="V57" s="68"/>
    </row>
    <row r="58" spans="2:22">
      <c r="B58" s="283"/>
      <c r="C58" s="67">
        <f>C57*$I$10</f>
        <v>38.480399999999996</v>
      </c>
      <c r="D58" s="67">
        <f t="shared" ref="D58:S58" si="18">D57*$I$10</f>
        <v>39.463200000000001</v>
      </c>
      <c r="E58" s="67">
        <f t="shared" si="18"/>
        <v>40.445999999999998</v>
      </c>
      <c r="F58" s="67">
        <f t="shared" si="18"/>
        <v>41.428800000000003</v>
      </c>
      <c r="G58" s="67">
        <f t="shared" si="18"/>
        <v>42.4116</v>
      </c>
      <c r="H58" s="67">
        <f t="shared" si="18"/>
        <v>43.394399999999997</v>
      </c>
      <c r="I58" s="67">
        <f t="shared" si="18"/>
        <v>44.352000000000004</v>
      </c>
      <c r="J58" s="67">
        <f t="shared" si="18"/>
        <v>45.334799999999994</v>
      </c>
      <c r="K58" s="67">
        <f t="shared" si="18"/>
        <v>46.317599999999992</v>
      </c>
      <c r="L58" s="67">
        <f t="shared" si="18"/>
        <v>47.300399999999996</v>
      </c>
      <c r="M58" s="67">
        <f t="shared" si="18"/>
        <v>48.283200000000001</v>
      </c>
      <c r="N58" s="67">
        <f t="shared" si="18"/>
        <v>49.266000000000005</v>
      </c>
      <c r="O58" s="67">
        <f t="shared" si="18"/>
        <v>50.248800000000003</v>
      </c>
      <c r="P58" s="67">
        <f t="shared" si="18"/>
        <v>51.231599999999993</v>
      </c>
      <c r="Q58" s="67">
        <f t="shared" si="18"/>
        <v>52.214399999999991</v>
      </c>
      <c r="R58" s="67">
        <f t="shared" si="18"/>
        <v>53.197199999999995</v>
      </c>
      <c r="S58" s="67">
        <f t="shared" si="18"/>
        <v>54.18</v>
      </c>
    </row>
    <row r="61" spans="2:22">
      <c r="B61" s="43" t="s">
        <v>109</v>
      </c>
    </row>
    <row r="63" spans="2:22">
      <c r="B63" s="44" t="s">
        <v>110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22">
      <c r="B64" s="62" t="s">
        <v>2</v>
      </c>
      <c r="C64" s="63">
        <v>0.6</v>
      </c>
      <c r="D64" s="63">
        <v>0.7</v>
      </c>
      <c r="E64" s="63">
        <v>0.8</v>
      </c>
      <c r="F64" s="63">
        <v>0.9</v>
      </c>
      <c r="G64" s="63">
        <v>1</v>
      </c>
      <c r="H64" s="63">
        <v>1.1000000000000001</v>
      </c>
      <c r="I64" s="63">
        <v>1.2</v>
      </c>
      <c r="J64" s="63">
        <v>1.3</v>
      </c>
      <c r="K64" s="63">
        <v>1.4</v>
      </c>
      <c r="L64" s="63">
        <v>1.5</v>
      </c>
      <c r="M64" s="63">
        <v>1.6</v>
      </c>
      <c r="N64" s="63">
        <v>1.7</v>
      </c>
      <c r="O64" s="63">
        <v>1.8</v>
      </c>
      <c r="P64" s="63">
        <v>1.9</v>
      </c>
      <c r="Q64" s="63">
        <v>2</v>
      </c>
    </row>
    <row r="65" spans="2:23">
      <c r="B65" s="64" t="s">
        <v>3</v>
      </c>
      <c r="C65" s="69">
        <v>30.2</v>
      </c>
      <c r="D65" s="69">
        <v>32.4</v>
      </c>
      <c r="E65" s="69">
        <v>34.6</v>
      </c>
      <c r="F65" s="69">
        <v>36.799999999999997</v>
      </c>
      <c r="G65" s="69">
        <v>39</v>
      </c>
      <c r="H65" s="69">
        <v>41.2</v>
      </c>
      <c r="I65" s="69">
        <v>43.4</v>
      </c>
      <c r="J65" s="69">
        <v>45.6</v>
      </c>
      <c r="K65" s="69">
        <v>47.8</v>
      </c>
      <c r="L65" s="69">
        <v>50.7</v>
      </c>
      <c r="M65" s="69">
        <v>52.9</v>
      </c>
      <c r="N65" s="69">
        <v>55.1</v>
      </c>
      <c r="O65" s="69">
        <v>57.3</v>
      </c>
      <c r="P65" s="69">
        <v>59.5</v>
      </c>
      <c r="Q65" s="69">
        <v>61.7</v>
      </c>
    </row>
    <row r="66" spans="2:23">
      <c r="B66" s="64" t="s">
        <v>4</v>
      </c>
      <c r="C66" s="69">
        <f>C65*$I$10</f>
        <v>54.36</v>
      </c>
      <c r="D66" s="69">
        <f t="shared" ref="D66:Q66" si="19">D65*$I$10</f>
        <v>58.32</v>
      </c>
      <c r="E66" s="69">
        <f t="shared" si="19"/>
        <v>62.28</v>
      </c>
      <c r="F66" s="69">
        <f t="shared" si="19"/>
        <v>66.239999999999995</v>
      </c>
      <c r="G66" s="69">
        <f t="shared" si="19"/>
        <v>70.2</v>
      </c>
      <c r="H66" s="69">
        <f t="shared" si="19"/>
        <v>74.160000000000011</v>
      </c>
      <c r="I66" s="69">
        <f t="shared" si="19"/>
        <v>78.12</v>
      </c>
      <c r="J66" s="69">
        <f t="shared" si="19"/>
        <v>82.08</v>
      </c>
      <c r="K66" s="69">
        <f t="shared" si="19"/>
        <v>86.039999999999992</v>
      </c>
      <c r="L66" s="69">
        <f t="shared" si="19"/>
        <v>91.26</v>
      </c>
      <c r="M66" s="69">
        <f t="shared" si="19"/>
        <v>95.22</v>
      </c>
      <c r="N66" s="69">
        <f t="shared" si="19"/>
        <v>99.18</v>
      </c>
      <c r="O66" s="69">
        <f t="shared" si="19"/>
        <v>103.14</v>
      </c>
      <c r="P66" s="69">
        <f t="shared" si="19"/>
        <v>107.10000000000001</v>
      </c>
      <c r="Q66" s="69">
        <f t="shared" si="19"/>
        <v>111.06</v>
      </c>
    </row>
    <row r="68" spans="2:23">
      <c r="B68" s="44" t="s">
        <v>111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23">
      <c r="B69" s="62" t="s">
        <v>2</v>
      </c>
      <c r="C69" s="63">
        <v>1</v>
      </c>
      <c r="D69" s="63">
        <v>1.1000000000000001</v>
      </c>
      <c r="E69" s="63">
        <v>1.2</v>
      </c>
      <c r="F69" s="63">
        <v>1.3</v>
      </c>
      <c r="G69" s="63">
        <v>1.4</v>
      </c>
      <c r="H69" s="63">
        <v>1.5</v>
      </c>
      <c r="I69" s="63">
        <v>1.6</v>
      </c>
      <c r="J69" s="63">
        <v>1.7</v>
      </c>
      <c r="K69" s="63">
        <v>1.8</v>
      </c>
      <c r="L69" s="63">
        <v>1.9</v>
      </c>
      <c r="M69" s="63">
        <v>2</v>
      </c>
      <c r="N69" s="63">
        <v>2.1</v>
      </c>
      <c r="O69" s="63">
        <v>2.2000000000000002</v>
      </c>
      <c r="P69" s="63">
        <v>2.2999999999999998</v>
      </c>
      <c r="Q69" s="63">
        <v>2.4</v>
      </c>
      <c r="R69" s="63">
        <v>2.5</v>
      </c>
      <c r="S69" s="63">
        <v>2.6</v>
      </c>
      <c r="T69" s="63">
        <v>2.7</v>
      </c>
      <c r="U69" s="63">
        <v>2.8</v>
      </c>
    </row>
    <row r="70" spans="2:23">
      <c r="B70" s="64" t="s">
        <v>3</v>
      </c>
      <c r="C70" s="65">
        <v>88.52</v>
      </c>
      <c r="D70" s="65">
        <v>59.436</v>
      </c>
      <c r="E70" s="65">
        <v>60.972000000000001</v>
      </c>
      <c r="F70" s="65">
        <v>62.508000000000003</v>
      </c>
      <c r="G70" s="65">
        <v>64.043999999999997</v>
      </c>
      <c r="H70" s="65">
        <v>65.58</v>
      </c>
      <c r="I70" s="65">
        <v>71.891999999999996</v>
      </c>
      <c r="J70" s="65">
        <v>73.44</v>
      </c>
      <c r="K70" s="65">
        <v>74.975999999999999</v>
      </c>
      <c r="L70" s="65">
        <v>76.512</v>
      </c>
      <c r="M70" s="65">
        <v>78.048000000000002</v>
      </c>
      <c r="N70" s="65">
        <v>84.36</v>
      </c>
      <c r="O70" s="65">
        <v>85.896000000000001</v>
      </c>
      <c r="P70" s="65">
        <v>87.432000000000002</v>
      </c>
      <c r="Q70" s="65">
        <v>88.98</v>
      </c>
      <c r="R70" s="65">
        <v>90.516000000000005</v>
      </c>
      <c r="S70" s="65">
        <v>96.827999999999989</v>
      </c>
      <c r="T70" s="65">
        <v>98.36399999999999</v>
      </c>
      <c r="U70" s="65">
        <v>99.899999999999991</v>
      </c>
    </row>
    <row r="71" spans="2:23">
      <c r="B71" s="64" t="s">
        <v>4</v>
      </c>
      <c r="C71" s="69">
        <f>C70*$I$10</f>
        <v>159.33599999999998</v>
      </c>
      <c r="D71" s="69">
        <f t="shared" ref="D71:U71" si="20">D70*$I$10</f>
        <v>106.98480000000001</v>
      </c>
      <c r="E71" s="69">
        <f t="shared" si="20"/>
        <v>109.7496</v>
      </c>
      <c r="F71" s="69">
        <f t="shared" si="20"/>
        <v>112.51440000000001</v>
      </c>
      <c r="G71" s="69">
        <f t="shared" si="20"/>
        <v>115.2792</v>
      </c>
      <c r="H71" s="69">
        <f t="shared" si="20"/>
        <v>118.044</v>
      </c>
      <c r="I71" s="69">
        <f t="shared" si="20"/>
        <v>129.40559999999999</v>
      </c>
      <c r="J71" s="69">
        <f t="shared" si="20"/>
        <v>132.19200000000001</v>
      </c>
      <c r="K71" s="69">
        <f t="shared" si="20"/>
        <v>134.95680000000002</v>
      </c>
      <c r="L71" s="69">
        <f t="shared" si="20"/>
        <v>137.7216</v>
      </c>
      <c r="M71" s="69">
        <f t="shared" si="20"/>
        <v>140.4864</v>
      </c>
      <c r="N71" s="69">
        <f t="shared" si="20"/>
        <v>151.84800000000001</v>
      </c>
      <c r="O71" s="69">
        <f t="shared" si="20"/>
        <v>154.61279999999999</v>
      </c>
      <c r="P71" s="69">
        <f t="shared" si="20"/>
        <v>157.3776</v>
      </c>
      <c r="Q71" s="69">
        <f t="shared" si="20"/>
        <v>160.16400000000002</v>
      </c>
      <c r="R71" s="69">
        <f t="shared" si="20"/>
        <v>162.92880000000002</v>
      </c>
      <c r="S71" s="69">
        <f t="shared" si="20"/>
        <v>174.29039999999998</v>
      </c>
      <c r="T71" s="69">
        <f t="shared" si="20"/>
        <v>177.05519999999999</v>
      </c>
      <c r="U71" s="69">
        <f t="shared" si="20"/>
        <v>179.82</v>
      </c>
    </row>
    <row r="73" spans="2:23" ht="13.5" thickBot="1"/>
    <row r="74" spans="2:23" ht="21.75" thickBot="1">
      <c r="B74" s="70" t="s">
        <v>56</v>
      </c>
      <c r="C74" s="71"/>
      <c r="D74" s="71"/>
      <c r="E74" s="71"/>
      <c r="F74" s="71"/>
      <c r="G74" s="71"/>
      <c r="H74" s="71"/>
      <c r="I74" s="71"/>
      <c r="J74" s="71"/>
    </row>
    <row r="75" spans="2:23" ht="16.5" thickBot="1">
      <c r="B75" s="72" t="s">
        <v>112</v>
      </c>
      <c r="C75" s="73"/>
      <c r="D75" s="73"/>
      <c r="E75" s="73"/>
      <c r="F75" s="73"/>
      <c r="G75" s="73"/>
      <c r="H75" s="73"/>
      <c r="I75" s="73"/>
      <c r="J75" s="73"/>
      <c r="K75" s="74"/>
      <c r="L75" s="74"/>
      <c r="M75" s="74"/>
      <c r="N75" s="74"/>
      <c r="O75" s="74"/>
      <c r="P75" s="74"/>
      <c r="Q75" s="74"/>
    </row>
    <row r="76" spans="2:23" ht="16.5" thickBot="1">
      <c r="B76" s="72" t="s">
        <v>113</v>
      </c>
      <c r="C76" s="73"/>
      <c r="D76" s="73"/>
      <c r="E76" s="73"/>
      <c r="F76" s="73"/>
      <c r="G76" s="73"/>
      <c r="H76" s="73"/>
      <c r="I76" s="73"/>
      <c r="J76" s="73"/>
      <c r="K76" s="74"/>
      <c r="L76" s="74"/>
      <c r="M76" s="74"/>
      <c r="N76" s="74"/>
      <c r="O76" s="74"/>
      <c r="P76" s="74"/>
      <c r="Q76" s="74"/>
    </row>
    <row r="77" spans="2:23" ht="15" customHeight="1" thickBot="1">
      <c r="B77" s="75" t="s">
        <v>114</v>
      </c>
      <c r="Q77" s="39"/>
      <c r="R77" s="39"/>
      <c r="S77" s="39"/>
      <c r="T77" s="39"/>
      <c r="U77" s="39"/>
      <c r="V77" s="39"/>
      <c r="W77" s="39"/>
    </row>
    <row r="78" spans="2:23" ht="15" customHeight="1" thickBot="1">
      <c r="B78" s="75" t="s">
        <v>115</v>
      </c>
      <c r="Q78" s="39"/>
      <c r="R78" s="39"/>
      <c r="S78" s="39"/>
      <c r="T78" s="39"/>
      <c r="U78" s="39"/>
      <c r="V78" s="39"/>
      <c r="W78" s="39"/>
    </row>
    <row r="79" spans="2:23" ht="33.6" customHeight="1" thickBot="1">
      <c r="B79" s="321" t="s">
        <v>116</v>
      </c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</row>
    <row r="80" spans="2:23" ht="16.5" thickBot="1">
      <c r="B80" s="75" t="s">
        <v>117</v>
      </c>
      <c r="C80" s="75"/>
      <c r="D80" s="75"/>
      <c r="E80" s="75"/>
      <c r="F80" s="75"/>
      <c r="G80" s="75"/>
      <c r="H80" s="75"/>
      <c r="I80" s="75"/>
      <c r="J80" s="75"/>
      <c r="K80" s="74"/>
      <c r="L80" s="74"/>
      <c r="M80" s="74"/>
      <c r="N80" s="74"/>
      <c r="O80" s="74"/>
      <c r="P80" s="74"/>
      <c r="Q80" s="74"/>
    </row>
    <row r="81" spans="2:21" ht="21.75" thickBot="1">
      <c r="B81" s="76" t="s">
        <v>118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7"/>
      <c r="P81" s="77"/>
      <c r="Q81" s="77"/>
      <c r="R81" s="78"/>
      <c r="S81" s="78"/>
      <c r="T81" s="78"/>
      <c r="U81" s="78"/>
    </row>
    <row r="82" spans="2:21" ht="21.75" thickBot="1">
      <c r="B82" s="76" t="s">
        <v>119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4"/>
      <c r="P82" s="74"/>
      <c r="Q82" s="74"/>
    </row>
  </sheetData>
  <sheetProtection password="CFE4" sheet="1" objects="1" scenarios="1"/>
  <mergeCells count="91">
    <mergeCell ref="Q5:AC5"/>
    <mergeCell ref="Q6:AC6"/>
    <mergeCell ref="C13:I13"/>
    <mergeCell ref="J13:K13"/>
    <mergeCell ref="L13:M13"/>
    <mergeCell ref="N13:O13"/>
    <mergeCell ref="Q13:S13"/>
    <mergeCell ref="U14:V14"/>
    <mergeCell ref="Q15:S15"/>
    <mergeCell ref="U15:V15"/>
    <mergeCell ref="B16:B17"/>
    <mergeCell ref="C16:I17"/>
    <mergeCell ref="J16:K17"/>
    <mergeCell ref="L16:M17"/>
    <mergeCell ref="N16:O17"/>
    <mergeCell ref="Q16:S16"/>
    <mergeCell ref="U16:V16"/>
    <mergeCell ref="B14:B15"/>
    <mergeCell ref="C14:I15"/>
    <mergeCell ref="J14:K15"/>
    <mergeCell ref="L14:M15"/>
    <mergeCell ref="N14:O15"/>
    <mergeCell ref="Q14:S14"/>
    <mergeCell ref="Q17:S17"/>
    <mergeCell ref="U17:V17"/>
    <mergeCell ref="B18:B19"/>
    <mergeCell ref="C18:I19"/>
    <mergeCell ref="J18:K19"/>
    <mergeCell ref="L18:M19"/>
    <mergeCell ref="N18:O19"/>
    <mergeCell ref="U18:V18"/>
    <mergeCell ref="U19:V19"/>
    <mergeCell ref="T21:U21"/>
    <mergeCell ref="V21:W21"/>
    <mergeCell ref="B23:B24"/>
    <mergeCell ref="C23:I24"/>
    <mergeCell ref="J23:K24"/>
    <mergeCell ref="L23:M24"/>
    <mergeCell ref="N23:O24"/>
    <mergeCell ref="Q23:S24"/>
    <mergeCell ref="T23:T24"/>
    <mergeCell ref="U23:U24"/>
    <mergeCell ref="B20:B22"/>
    <mergeCell ref="C20:I22"/>
    <mergeCell ref="J20:K22"/>
    <mergeCell ref="L20:M22"/>
    <mergeCell ref="N20:O22"/>
    <mergeCell ref="Q21:S22"/>
    <mergeCell ref="Q25:S26"/>
    <mergeCell ref="T25:T26"/>
    <mergeCell ref="U25:U26"/>
    <mergeCell ref="V25:V26"/>
    <mergeCell ref="W25:W26"/>
    <mergeCell ref="B25:B26"/>
    <mergeCell ref="C25:I26"/>
    <mergeCell ref="J25:K26"/>
    <mergeCell ref="L25:M26"/>
    <mergeCell ref="N25:O26"/>
    <mergeCell ref="T27:T28"/>
    <mergeCell ref="U27:U28"/>
    <mergeCell ref="W29:W30"/>
    <mergeCell ref="V23:V24"/>
    <mergeCell ref="W23:W24"/>
    <mergeCell ref="C29:I30"/>
    <mergeCell ref="J29:K30"/>
    <mergeCell ref="L29:M30"/>
    <mergeCell ref="N29:O30"/>
    <mergeCell ref="Q27:S28"/>
    <mergeCell ref="B79:W79"/>
    <mergeCell ref="B47:B48"/>
    <mergeCell ref="B49:B50"/>
    <mergeCell ref="B51:B52"/>
    <mergeCell ref="B53:B54"/>
    <mergeCell ref="B55:B56"/>
    <mergeCell ref="B57:B58"/>
    <mergeCell ref="U41:Y43"/>
    <mergeCell ref="B43:B44"/>
    <mergeCell ref="B45:B46"/>
    <mergeCell ref="V27:V28"/>
    <mergeCell ref="B41:B42"/>
    <mergeCell ref="Q29:S30"/>
    <mergeCell ref="T29:T30"/>
    <mergeCell ref="U29:U30"/>
    <mergeCell ref="V29:V30"/>
    <mergeCell ref="B27:B28"/>
    <mergeCell ref="C27:I28"/>
    <mergeCell ref="J27:K28"/>
    <mergeCell ref="L27:M28"/>
    <mergeCell ref="N27:O28"/>
    <mergeCell ref="W27:W28"/>
    <mergeCell ref="B29:B30"/>
  </mergeCells>
  <pageMargins left="0.7" right="0.7" top="0.75" bottom="0.75" header="0.3" footer="0.3"/>
  <pageSetup paperSize="9" scale="55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M64"/>
  <sheetViews>
    <sheetView zoomScale="90" zoomScaleNormal="90" workbookViewId="0">
      <selection activeCell="L26" sqref="L26:O28"/>
    </sheetView>
  </sheetViews>
  <sheetFormatPr defaultColWidth="9.1640625" defaultRowHeight="12.75"/>
  <cols>
    <col min="1" max="1" width="13.1640625" style="36" customWidth="1"/>
    <col min="2" max="2" width="14.1640625" style="36" customWidth="1"/>
    <col min="3" max="24" width="10" style="36" customWidth="1"/>
    <col min="25" max="25" width="10.83203125" style="36" customWidth="1"/>
    <col min="26" max="26" width="10" style="36" customWidth="1"/>
    <col min="27" max="27" width="11.5" style="36" customWidth="1"/>
    <col min="28" max="29" width="9.6640625" style="36" customWidth="1"/>
    <col min="30" max="16384" width="9.1640625" style="36"/>
  </cols>
  <sheetData>
    <row r="1" spans="2:33">
      <c r="U1" s="37" t="s">
        <v>26</v>
      </c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</row>
    <row r="2" spans="2:33">
      <c r="U2" s="38" t="s">
        <v>121</v>
      </c>
      <c r="V2" s="38"/>
      <c r="W2" s="38"/>
      <c r="X2" s="38"/>
      <c r="Y2" s="38"/>
      <c r="Z2" s="38"/>
      <c r="AA2" s="39"/>
      <c r="AB2" s="39"/>
      <c r="AC2" s="39"/>
      <c r="AD2" s="39"/>
      <c r="AE2" s="39"/>
      <c r="AF2" s="39"/>
      <c r="AG2" s="39"/>
    </row>
    <row r="3" spans="2:33">
      <c r="U3" s="38" t="s">
        <v>122</v>
      </c>
      <c r="V3" s="38"/>
      <c r="W3" s="38"/>
      <c r="X3" s="38"/>
      <c r="Y3" s="38"/>
      <c r="Z3" s="38"/>
      <c r="AA3" s="39"/>
      <c r="AB3" s="39"/>
      <c r="AC3" s="39"/>
      <c r="AD3" s="39"/>
      <c r="AE3" s="39"/>
      <c r="AF3" s="39"/>
      <c r="AG3" s="39"/>
    </row>
    <row r="4" spans="2:33" ht="34.9" customHeight="1">
      <c r="U4" s="216" t="s">
        <v>123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</row>
    <row r="5" spans="2:33" ht="22.9" customHeight="1">
      <c r="U5" s="216" t="s">
        <v>124</v>
      </c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</row>
    <row r="6" spans="2:33">
      <c r="U6" s="38" t="s">
        <v>125</v>
      </c>
      <c r="V6" s="38"/>
      <c r="W6" s="38"/>
      <c r="X6" s="38"/>
      <c r="Y6" s="38"/>
      <c r="Z6" s="38"/>
      <c r="AA6" s="39"/>
      <c r="AB6" s="39"/>
      <c r="AC6" s="39"/>
      <c r="AD6" s="39"/>
      <c r="AE6" s="39"/>
      <c r="AF6" s="39"/>
      <c r="AG6" s="39"/>
    </row>
    <row r="7" spans="2:33">
      <c r="U7" s="40"/>
      <c r="V7" s="41" t="s">
        <v>33</v>
      </c>
      <c r="W7" s="40" t="s">
        <v>67</v>
      </c>
      <c r="X7" s="42"/>
      <c r="Y7" s="42"/>
      <c r="Z7" s="42"/>
      <c r="AA7" s="42"/>
      <c r="AB7" s="40"/>
      <c r="AC7" s="40"/>
      <c r="AD7" s="40"/>
      <c r="AE7" s="40"/>
      <c r="AF7" s="40"/>
      <c r="AG7" s="40"/>
    </row>
    <row r="8" spans="2:33" ht="13.5" thickBot="1"/>
    <row r="9" spans="2:33" ht="18.75" thickBot="1">
      <c r="B9" s="118" t="s">
        <v>0</v>
      </c>
      <c r="C9" s="81">
        <v>68</v>
      </c>
      <c r="D9" s="36" t="s">
        <v>38</v>
      </c>
      <c r="J9" s="91" t="s">
        <v>62</v>
      </c>
      <c r="K9" s="81">
        <v>1.8</v>
      </c>
      <c r="L9" s="36" t="s">
        <v>38</v>
      </c>
      <c r="U9" s="43" t="s">
        <v>68</v>
      </c>
    </row>
    <row r="10" spans="2:33">
      <c r="U10" s="43" t="s">
        <v>69</v>
      </c>
    </row>
    <row r="11" spans="2:33" ht="15.75" thickBot="1">
      <c r="B11" s="44" t="s">
        <v>126</v>
      </c>
      <c r="U11" s="45"/>
    </row>
    <row r="12" spans="2:33" ht="40.15" customHeight="1" thickBot="1">
      <c r="B12" s="46" t="s">
        <v>71</v>
      </c>
      <c r="C12" s="364" t="s">
        <v>127</v>
      </c>
      <c r="D12" s="364"/>
      <c r="E12" s="364"/>
      <c r="F12" s="364" t="s">
        <v>72</v>
      </c>
      <c r="G12" s="364"/>
      <c r="H12" s="364"/>
      <c r="I12" s="364"/>
      <c r="J12" s="364" t="s">
        <v>128</v>
      </c>
      <c r="K12" s="364"/>
      <c r="L12" s="364" t="s">
        <v>129</v>
      </c>
      <c r="M12" s="364"/>
      <c r="N12" s="364"/>
      <c r="O12" s="365"/>
      <c r="P12" s="219" t="s">
        <v>13</v>
      </c>
      <c r="Q12" s="220"/>
      <c r="R12" s="221" t="s">
        <v>14</v>
      </c>
      <c r="S12" s="220"/>
      <c r="U12" s="222" t="s">
        <v>35</v>
      </c>
      <c r="V12" s="223"/>
      <c r="W12" s="224"/>
      <c r="X12" s="47" t="s">
        <v>36</v>
      </c>
      <c r="Y12" s="48"/>
      <c r="Z12" s="49"/>
      <c r="AA12" s="39"/>
    </row>
    <row r="13" spans="2:33" ht="18" customHeight="1">
      <c r="B13" s="228">
        <v>1</v>
      </c>
      <c r="C13" s="229" t="s">
        <v>130</v>
      </c>
      <c r="D13" s="229"/>
      <c r="E13" s="229"/>
      <c r="F13" s="229" t="s">
        <v>131</v>
      </c>
      <c r="G13" s="229"/>
      <c r="H13" s="229"/>
      <c r="I13" s="229"/>
      <c r="J13" s="229"/>
      <c r="K13" s="229"/>
      <c r="L13" s="229" t="s">
        <v>132</v>
      </c>
      <c r="M13" s="229"/>
      <c r="N13" s="229"/>
      <c r="O13" s="230"/>
      <c r="P13" s="254">
        <v>12.922000000000001</v>
      </c>
      <c r="Q13" s="245"/>
      <c r="R13" s="244">
        <f>P13*$K$9</f>
        <v>23.259600000000002</v>
      </c>
      <c r="S13" s="245"/>
      <c r="U13" s="246" t="s">
        <v>37</v>
      </c>
      <c r="V13" s="247"/>
      <c r="W13" s="248"/>
      <c r="X13" s="92">
        <v>0.9</v>
      </c>
      <c r="Y13" s="366" t="s">
        <v>38</v>
      </c>
      <c r="Z13" s="367"/>
      <c r="AA13" s="50"/>
    </row>
    <row r="14" spans="2:33" ht="18" customHeight="1"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7"/>
      <c r="P14" s="231"/>
      <c r="Q14" s="232"/>
      <c r="R14" s="233"/>
      <c r="S14" s="232"/>
      <c r="U14" s="251" t="s">
        <v>40</v>
      </c>
      <c r="V14" s="252"/>
      <c r="W14" s="253"/>
      <c r="X14" s="93">
        <v>1.5</v>
      </c>
      <c r="Y14" s="366" t="s">
        <v>38</v>
      </c>
      <c r="Z14" s="367"/>
      <c r="AA14" s="50"/>
    </row>
    <row r="15" spans="2:33" ht="18.600000000000001" customHeight="1">
      <c r="B15" s="225">
        <v>2</v>
      </c>
      <c r="C15" s="226" t="s">
        <v>133</v>
      </c>
      <c r="D15" s="226"/>
      <c r="E15" s="226"/>
      <c r="F15" s="226" t="s">
        <v>134</v>
      </c>
      <c r="G15" s="226"/>
      <c r="H15" s="226"/>
      <c r="I15" s="226"/>
      <c r="J15" s="226" t="s">
        <v>135</v>
      </c>
      <c r="K15" s="226"/>
      <c r="L15" s="226" t="s">
        <v>136</v>
      </c>
      <c r="M15" s="226"/>
      <c r="N15" s="226"/>
      <c r="O15" s="227"/>
      <c r="P15" s="231">
        <v>13.611000000000001</v>
      </c>
      <c r="Q15" s="232"/>
      <c r="R15" s="233">
        <f t="shared" ref="R15:R26" si="0">P15*$K$9</f>
        <v>24.4998</v>
      </c>
      <c r="S15" s="232"/>
      <c r="U15" s="113" t="s">
        <v>41</v>
      </c>
      <c r="V15" s="114"/>
      <c r="W15" s="115"/>
      <c r="X15" s="128">
        <f>X13*X14</f>
        <v>1.35</v>
      </c>
      <c r="Y15" s="116" t="s">
        <v>42</v>
      </c>
      <c r="Z15" s="117"/>
      <c r="AA15" s="39"/>
    </row>
    <row r="16" spans="2:33" ht="18.600000000000001" customHeight="1">
      <c r="B16" s="225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7"/>
      <c r="P16" s="231"/>
      <c r="Q16" s="232"/>
      <c r="R16" s="233"/>
      <c r="S16" s="232"/>
      <c r="U16" s="113" t="s">
        <v>201</v>
      </c>
      <c r="V16" s="114"/>
      <c r="W16" s="115"/>
      <c r="X16" s="51">
        <f>IF(X14&lt;1,4,IF(X14&lt;1.4,5,IF(X14&lt;1.8,6,IF(X14&lt;2.2,7,IF(X14&lt;2.6,8,IF(X14&lt;=3,9,))))))</f>
        <v>6</v>
      </c>
      <c r="Y16" s="237" t="s">
        <v>202</v>
      </c>
      <c r="Z16" s="238"/>
      <c r="AA16" s="368" t="s">
        <v>203</v>
      </c>
      <c r="AB16" s="369"/>
      <c r="AC16" s="369"/>
      <c r="AD16" s="369"/>
      <c r="AE16" s="369"/>
      <c r="AF16" s="369"/>
    </row>
    <row r="17" spans="2:39" ht="34.9" customHeight="1">
      <c r="B17" s="225">
        <v>3</v>
      </c>
      <c r="C17" s="226" t="s">
        <v>138</v>
      </c>
      <c r="D17" s="226"/>
      <c r="E17" s="226"/>
      <c r="F17" s="226" t="s">
        <v>139</v>
      </c>
      <c r="G17" s="226"/>
      <c r="H17" s="226"/>
      <c r="I17" s="226"/>
      <c r="J17" s="226" t="s">
        <v>140</v>
      </c>
      <c r="K17" s="226"/>
      <c r="L17" s="226" t="s">
        <v>141</v>
      </c>
      <c r="M17" s="226"/>
      <c r="N17" s="226"/>
      <c r="O17" s="227"/>
      <c r="P17" s="231">
        <v>16.900000000000002</v>
      </c>
      <c r="Q17" s="232"/>
      <c r="R17" s="233">
        <f t="shared" si="0"/>
        <v>30.420000000000005</v>
      </c>
      <c r="S17" s="232"/>
      <c r="U17" s="370" t="s">
        <v>211</v>
      </c>
      <c r="V17" s="371"/>
      <c r="W17" s="372"/>
      <c r="X17" s="93">
        <v>6</v>
      </c>
      <c r="Y17" s="373" t="s">
        <v>38</v>
      </c>
      <c r="Z17" s="374"/>
      <c r="AA17" s="368"/>
      <c r="AB17" s="369"/>
      <c r="AC17" s="369"/>
      <c r="AD17" s="369"/>
      <c r="AE17" s="369"/>
      <c r="AF17" s="369"/>
    </row>
    <row r="18" spans="2:39" ht="23.45" customHeight="1"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7"/>
      <c r="P18" s="231"/>
      <c r="Q18" s="232"/>
      <c r="R18" s="233"/>
      <c r="S18" s="232"/>
      <c r="U18" s="239" t="s">
        <v>11</v>
      </c>
      <c r="V18" s="240"/>
      <c r="W18" s="241"/>
      <c r="X18" s="93">
        <v>1</v>
      </c>
      <c r="Y18" s="242" t="s">
        <v>137</v>
      </c>
      <c r="Z18" s="243"/>
      <c r="AA18" s="119"/>
      <c r="AB18" s="120"/>
      <c r="AC18" s="120"/>
      <c r="AD18" s="120"/>
      <c r="AE18" s="120"/>
      <c r="AF18" s="120"/>
    </row>
    <row r="19" spans="2:39" ht="19.899999999999999" customHeight="1" thickBot="1">
      <c r="B19" s="225">
        <v>4</v>
      </c>
      <c r="C19" s="226" t="s">
        <v>142</v>
      </c>
      <c r="D19" s="226"/>
      <c r="E19" s="226"/>
      <c r="F19" s="226" t="s">
        <v>143</v>
      </c>
      <c r="G19" s="226"/>
      <c r="H19" s="226"/>
      <c r="I19" s="226"/>
      <c r="J19" s="226" t="s">
        <v>144</v>
      </c>
      <c r="K19" s="226"/>
      <c r="L19" s="226" t="s">
        <v>145</v>
      </c>
      <c r="M19" s="226"/>
      <c r="N19" s="226"/>
      <c r="O19" s="227"/>
      <c r="P19" s="231">
        <v>23.439000000000004</v>
      </c>
      <c r="Q19" s="232"/>
      <c r="R19" s="233">
        <f>P19*$K$9</f>
        <v>42.190200000000004</v>
      </c>
      <c r="S19" s="232"/>
      <c r="U19" s="52" t="s">
        <v>47</v>
      </c>
      <c r="V19" s="53"/>
      <c r="W19" s="54"/>
      <c r="X19" s="94">
        <v>1</v>
      </c>
      <c r="Y19" s="375" t="s">
        <v>38</v>
      </c>
      <c r="Z19" s="376"/>
      <c r="AA19" s="39"/>
    </row>
    <row r="20" spans="2:39" ht="19.899999999999999" customHeight="1" thickBot="1"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7"/>
      <c r="P20" s="231"/>
      <c r="Q20" s="232"/>
      <c r="R20" s="233"/>
      <c r="S20" s="232"/>
      <c r="U20" s="55" t="s">
        <v>48</v>
      </c>
      <c r="V20" s="55"/>
      <c r="W20" s="56"/>
      <c r="X20" s="57">
        <f>IF(X13&lt;1.5,2,IF(X13&lt;2.5,3,IF(X13&lt;3.5,4,IF(X13&lt;4.5,5,))))</f>
        <v>2</v>
      </c>
      <c r="Y20" s="377" t="s">
        <v>42</v>
      </c>
      <c r="Z20" s="378"/>
      <c r="AA20" s="39"/>
    </row>
    <row r="21" spans="2:39" ht="19.899999999999999" customHeight="1" thickBot="1">
      <c r="B21" s="225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7"/>
      <c r="P21" s="231"/>
      <c r="Q21" s="232"/>
      <c r="R21" s="233"/>
      <c r="S21" s="232"/>
      <c r="U21" s="58" t="s">
        <v>82</v>
      </c>
      <c r="V21" s="39"/>
      <c r="W21" s="39"/>
      <c r="X21" s="39"/>
      <c r="Y21" s="39"/>
      <c r="Z21" s="39"/>
      <c r="AA21" s="39"/>
    </row>
    <row r="22" spans="2:39" ht="34.15" customHeight="1">
      <c r="B22" s="225">
        <v>5</v>
      </c>
      <c r="C22" s="226" t="s">
        <v>147</v>
      </c>
      <c r="D22" s="226"/>
      <c r="E22" s="226"/>
      <c r="F22" s="226" t="s">
        <v>194</v>
      </c>
      <c r="G22" s="226"/>
      <c r="H22" s="226"/>
      <c r="I22" s="226"/>
      <c r="J22" s="226" t="s">
        <v>148</v>
      </c>
      <c r="K22" s="226"/>
      <c r="L22" s="226" t="s">
        <v>149</v>
      </c>
      <c r="M22" s="226"/>
      <c r="N22" s="226"/>
      <c r="O22" s="227"/>
      <c r="P22" s="231">
        <v>32.201000000000001</v>
      </c>
      <c r="Q22" s="232"/>
      <c r="R22" s="233">
        <f t="shared" si="0"/>
        <v>57.961800000000004</v>
      </c>
      <c r="S22" s="232"/>
      <c r="U22" s="257" t="s">
        <v>83</v>
      </c>
      <c r="V22" s="258"/>
      <c r="W22" s="259"/>
      <c r="X22" s="257" t="s">
        <v>3</v>
      </c>
      <c r="Y22" s="259"/>
      <c r="Z22" s="257" t="s">
        <v>4</v>
      </c>
      <c r="AA22" s="259"/>
      <c r="AC22" s="79" t="s">
        <v>84</v>
      </c>
      <c r="AD22" s="79" t="s">
        <v>85</v>
      </c>
      <c r="AE22" s="80" t="s">
        <v>204</v>
      </c>
      <c r="AF22" s="79"/>
      <c r="AG22" s="79"/>
      <c r="AH22" s="79"/>
      <c r="AI22" s="79"/>
      <c r="AJ22" s="79"/>
      <c r="AK22" s="79"/>
      <c r="AL22" s="79"/>
      <c r="AM22" s="79"/>
    </row>
    <row r="23" spans="2:39" ht="34.15" customHeight="1" thickBot="1">
      <c r="B23" s="225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P23" s="231"/>
      <c r="Q23" s="232"/>
      <c r="R23" s="233"/>
      <c r="S23" s="232"/>
      <c r="U23" s="260"/>
      <c r="V23" s="261"/>
      <c r="W23" s="262"/>
      <c r="X23" s="95" t="s">
        <v>86</v>
      </c>
      <c r="Y23" s="96" t="s">
        <v>87</v>
      </c>
      <c r="Z23" s="95" t="s">
        <v>86</v>
      </c>
      <c r="AA23" s="96" t="s">
        <v>87</v>
      </c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</row>
    <row r="24" spans="2:39" ht="31.15" customHeight="1">
      <c r="B24" s="225">
        <v>6</v>
      </c>
      <c r="C24" s="226" t="s">
        <v>152</v>
      </c>
      <c r="D24" s="226"/>
      <c r="E24" s="226"/>
      <c r="F24" s="226" t="s">
        <v>153</v>
      </c>
      <c r="G24" s="226"/>
      <c r="H24" s="226"/>
      <c r="I24" s="226"/>
      <c r="J24" s="226" t="s">
        <v>195</v>
      </c>
      <c r="K24" s="226"/>
      <c r="L24" s="226" t="s">
        <v>154</v>
      </c>
      <c r="M24" s="226"/>
      <c r="N24" s="226"/>
      <c r="O24" s="227"/>
      <c r="P24" s="231">
        <v>39.026000000000003</v>
      </c>
      <c r="Q24" s="232"/>
      <c r="R24" s="233">
        <f t="shared" si="0"/>
        <v>70.246800000000007</v>
      </c>
      <c r="S24" s="232"/>
      <c r="U24" s="379" t="s">
        <v>205</v>
      </c>
      <c r="V24" s="380"/>
      <c r="W24" s="381"/>
      <c r="X24" s="121">
        <f>(AC24+AD24)*$X$19</f>
        <v>41.7438</v>
      </c>
      <c r="Y24" s="122">
        <f>X24*$C$9</f>
        <v>2838.5783999999999</v>
      </c>
      <c r="Z24" s="121">
        <f>X24*$K$9</f>
        <v>75.138840000000002</v>
      </c>
      <c r="AA24" s="122">
        <f>Y24*$K$9</f>
        <v>5109.4411199999995</v>
      </c>
      <c r="AC24" s="79">
        <f>IF($X$18=1,P13*X13,IF($X$18=2,P15*X13,IF($X$18=3,P17*X13,IF($X$18=4,P19*X13,IF($X$18=5,P22*X13,IF($X$18=6,$P$24*X13,IF($X$18=7,X13*P26,IF($X$18=8,X13*P29,IF(X18=9,P31*X13,IF(X18=10,X13*P33,IF(X18=11,X13*P35,IF(X18=12,X13*P37,IF(X18=13,X13*P39,ошибка)))))))))))))</f>
        <v>11.629800000000001</v>
      </c>
      <c r="AD24" s="79">
        <f>IF(X13&lt;=0.4,C46,IF(X13&lt;=0.45,D46,IF(X13&lt;=0.5,E46,IF(X13&lt;=0.55,F46,IF(X13&lt;=0.6,G46,IF(X13&lt;=0.65,H46,IF(X13&lt;=0.7,I46,IF(X13&lt;=0.75,J46,IF(X13&lt;=0.8,K46,IF(X13&lt;=0.85,L46,IF(X13&lt;=0.9,M46,IF(X13&lt;=0.95,N46,IF(X13&lt;=1,O46,IF(X13&lt;=1.05,P46,IF(X13&lt;=1.1,Q46,IF(X13&lt;=1.15,R46,IF(X13&lt;=1.2,S46,ошибка)))))))))))))))))*AE24</f>
        <v>30.114000000000001</v>
      </c>
      <c r="AE24" s="79">
        <f>IF(X17&lt;=X16,1,1+(X17-X16)/100)</f>
        <v>1</v>
      </c>
      <c r="AF24" s="79"/>
      <c r="AG24" s="79"/>
      <c r="AH24" s="79"/>
      <c r="AI24" s="79"/>
      <c r="AJ24" s="79"/>
      <c r="AK24" s="79"/>
      <c r="AL24" s="79"/>
      <c r="AM24" s="79"/>
    </row>
    <row r="25" spans="2:39" ht="31.15" customHeight="1"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7"/>
      <c r="P25" s="231"/>
      <c r="Q25" s="232"/>
      <c r="R25" s="233"/>
      <c r="S25" s="232"/>
      <c r="U25" s="382" t="s">
        <v>212</v>
      </c>
      <c r="V25" s="383"/>
      <c r="W25" s="384"/>
      <c r="X25" s="123">
        <f>(AC25+AD25)*$X$19</f>
        <v>44.069760000000002</v>
      </c>
      <c r="Y25" s="124">
        <f t="shared" ref="Y25:Y26" si="1">X25*$C$9</f>
        <v>2996.74368</v>
      </c>
      <c r="Z25" s="121">
        <f t="shared" ref="Z25:Z27" si="2">X25*$K$9</f>
        <v>79.325568000000004</v>
      </c>
      <c r="AA25" s="124">
        <f t="shared" ref="AA25" si="3">Y25*$K$9</f>
        <v>5394.1386240000002</v>
      </c>
      <c r="AC25" s="79">
        <f>AC24*1.2</f>
        <v>13.955760000000001</v>
      </c>
      <c r="AD25" s="79">
        <f>AD24</f>
        <v>30.114000000000001</v>
      </c>
      <c r="AE25" s="79"/>
      <c r="AF25" s="102"/>
      <c r="AG25" s="79"/>
      <c r="AH25" s="79"/>
      <c r="AI25" s="79"/>
      <c r="AJ25" s="79"/>
      <c r="AK25" s="79"/>
      <c r="AL25" s="79"/>
      <c r="AM25" s="79"/>
    </row>
    <row r="26" spans="2:39" ht="33" customHeight="1">
      <c r="B26" s="225">
        <v>7</v>
      </c>
      <c r="C26" s="226" t="s">
        <v>157</v>
      </c>
      <c r="D26" s="226"/>
      <c r="E26" s="226"/>
      <c r="F26" s="226" t="s">
        <v>158</v>
      </c>
      <c r="G26" s="226"/>
      <c r="H26" s="226"/>
      <c r="I26" s="226"/>
      <c r="J26" s="226" t="s">
        <v>159</v>
      </c>
      <c r="K26" s="226"/>
      <c r="L26" s="226" t="s">
        <v>160</v>
      </c>
      <c r="M26" s="226"/>
      <c r="N26" s="226"/>
      <c r="O26" s="227"/>
      <c r="P26" s="231">
        <v>42.926000000000009</v>
      </c>
      <c r="Q26" s="232"/>
      <c r="R26" s="233">
        <f t="shared" si="0"/>
        <v>77.266800000000018</v>
      </c>
      <c r="S26" s="232"/>
      <c r="U26" s="382" t="s">
        <v>206</v>
      </c>
      <c r="V26" s="383"/>
      <c r="W26" s="384"/>
      <c r="X26" s="123">
        <f>(AC26+AD26)*$X$19</f>
        <v>50.4938</v>
      </c>
      <c r="Y26" s="124">
        <f t="shared" si="1"/>
        <v>3433.5783999999999</v>
      </c>
      <c r="Z26" s="121">
        <f t="shared" si="2"/>
        <v>90.888840000000002</v>
      </c>
      <c r="AA26" s="124">
        <f>Y26*$K$9</f>
        <v>6180.4411199999995</v>
      </c>
      <c r="AC26" s="79">
        <f>AC24</f>
        <v>11.629800000000001</v>
      </c>
      <c r="AD26" s="79">
        <f>IF(X13&lt;=0.8,C54,IF(X13&lt;=0.9,D54,IF(X13&lt;=1,E54,IF(X13&lt;=1.1,F54,IF(X13&lt;=1.2,G54,IF(X13&lt;=1.3,H54,IF(X13&lt;=1.4,I54,IF(X13&lt;=1.5,J54,IF(X13&lt;=1.6,K54,IF(X13&lt;=1.7,L54,IF(X13&lt;=1.8,M54,IF(X13&lt;=1.9,N54,IF(X13&lt;=2,O54,IF(X13&lt;=2.1,P54,IF(X13&lt;=2.2,Q54,IF(X13&lt;=2.3,R54,IF(X13&lt;=2.4,S54,IF(X13&lt;=2.5,T54,IF(X13&lt;=2.6,U54,IF(X13&lt;=2.7,V54,IF(X13&lt;=2.8,W54,IF(X13&lt;=2.9,X54,IF(X13&lt;=3,Y54,ошибка)))))))))))))))))))))))*AE26</f>
        <v>38.863999999999997</v>
      </c>
      <c r="AE26" s="79">
        <f>IF(X17&lt;=X16,1,1+(X17-X16)/100)</f>
        <v>1</v>
      </c>
      <c r="AF26" s="79"/>
      <c r="AG26" s="79"/>
      <c r="AH26" s="79"/>
      <c r="AI26" s="79"/>
      <c r="AJ26" s="79"/>
      <c r="AK26" s="79"/>
      <c r="AL26" s="79"/>
      <c r="AM26" s="79"/>
    </row>
    <row r="27" spans="2:39" ht="33" customHeight="1" thickBot="1"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  <c r="P27" s="231"/>
      <c r="Q27" s="232"/>
      <c r="R27" s="233"/>
      <c r="S27" s="232"/>
      <c r="U27" s="385" t="s">
        <v>213</v>
      </c>
      <c r="V27" s="386"/>
      <c r="W27" s="387"/>
      <c r="X27" s="125">
        <f>(AC27+AD27)*$X$19</f>
        <v>52.819760000000002</v>
      </c>
      <c r="Y27" s="126">
        <f>X27*$C$9</f>
        <v>3591.74368</v>
      </c>
      <c r="Z27" s="130">
        <f t="shared" si="2"/>
        <v>95.075568000000004</v>
      </c>
      <c r="AA27" s="126">
        <f t="shared" ref="AA27" si="4">Y27*$K$9</f>
        <v>6465.1386240000002</v>
      </c>
      <c r="AC27" s="79">
        <f>AC24*1.2</f>
        <v>13.955760000000001</v>
      </c>
      <c r="AD27" s="79">
        <f>AD26</f>
        <v>38.863999999999997</v>
      </c>
      <c r="AE27" s="79"/>
      <c r="AF27" s="102"/>
      <c r="AG27" s="79"/>
      <c r="AH27" s="79"/>
      <c r="AI27" s="79"/>
      <c r="AJ27" s="79"/>
      <c r="AK27" s="79"/>
      <c r="AL27" s="79"/>
      <c r="AM27" s="79"/>
    </row>
    <row r="28" spans="2:39" ht="33" customHeight="1"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  <c r="P28" s="231"/>
      <c r="Q28" s="232"/>
      <c r="R28" s="233"/>
      <c r="S28" s="232"/>
    </row>
    <row r="29" spans="2:39" ht="34.9" customHeight="1">
      <c r="B29" s="225">
        <v>8</v>
      </c>
      <c r="C29" s="226" t="s">
        <v>164</v>
      </c>
      <c r="D29" s="226"/>
      <c r="E29" s="226"/>
      <c r="F29" s="226" t="s">
        <v>196</v>
      </c>
      <c r="G29" s="226"/>
      <c r="H29" s="226"/>
      <c r="I29" s="226"/>
      <c r="J29" s="226" t="s">
        <v>165</v>
      </c>
      <c r="K29" s="226"/>
      <c r="L29" s="226" t="s">
        <v>166</v>
      </c>
      <c r="M29" s="226"/>
      <c r="N29" s="226"/>
      <c r="O29" s="227"/>
      <c r="P29" s="231">
        <v>47.346000000000004</v>
      </c>
      <c r="Q29" s="232"/>
      <c r="R29" s="233">
        <f>P29*$K$9</f>
        <v>85.222800000000007</v>
      </c>
      <c r="S29" s="232"/>
      <c r="U29" s="388" t="s">
        <v>214</v>
      </c>
      <c r="V29" s="388"/>
      <c r="W29" s="388"/>
      <c r="X29" s="388"/>
      <c r="Y29" s="388"/>
      <c r="Z29" s="388"/>
      <c r="AA29" s="388"/>
    </row>
    <row r="30" spans="2:39" ht="31.9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231"/>
      <c r="Q30" s="232"/>
      <c r="R30" s="233"/>
      <c r="S30" s="232"/>
      <c r="U30" s="388"/>
      <c r="V30" s="388"/>
      <c r="W30" s="388"/>
      <c r="X30" s="388"/>
      <c r="Y30" s="388"/>
      <c r="Z30" s="388"/>
      <c r="AA30" s="388"/>
    </row>
    <row r="31" spans="2:39" ht="23.45" customHeight="1">
      <c r="B31" s="225">
        <v>9</v>
      </c>
      <c r="C31" s="226" t="s">
        <v>167</v>
      </c>
      <c r="D31" s="226"/>
      <c r="E31" s="226"/>
      <c r="F31" s="226" t="s">
        <v>197</v>
      </c>
      <c r="G31" s="226"/>
      <c r="H31" s="226"/>
      <c r="I31" s="226"/>
      <c r="J31" s="226" t="s">
        <v>168</v>
      </c>
      <c r="K31" s="226"/>
      <c r="L31" s="226" t="s">
        <v>169</v>
      </c>
      <c r="M31" s="226"/>
      <c r="N31" s="226"/>
      <c r="O31" s="227"/>
      <c r="P31" s="278">
        <v>54.287999999999997</v>
      </c>
      <c r="Q31" s="279"/>
      <c r="R31" s="233">
        <f t="shared" ref="R31" si="5">P31*$K$9</f>
        <v>97.718400000000003</v>
      </c>
      <c r="S31" s="232"/>
      <c r="U31" s="388"/>
      <c r="V31" s="388"/>
      <c r="W31" s="388"/>
      <c r="X31" s="388"/>
      <c r="Y31" s="388"/>
      <c r="Z31" s="388"/>
      <c r="AA31" s="388"/>
    </row>
    <row r="32" spans="2:39" ht="23.45" customHeight="1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7"/>
      <c r="P32" s="280"/>
      <c r="Q32" s="281"/>
      <c r="R32" s="233"/>
      <c r="S32" s="232"/>
      <c r="U32" s="388"/>
      <c r="V32" s="388"/>
      <c r="W32" s="388"/>
      <c r="X32" s="388"/>
      <c r="Y32" s="388"/>
      <c r="Z32" s="388"/>
      <c r="AA32" s="388"/>
    </row>
    <row r="33" spans="2:27" ht="30.6" customHeight="1">
      <c r="B33" s="225">
        <v>10</v>
      </c>
      <c r="C33" s="226" t="s">
        <v>170</v>
      </c>
      <c r="D33" s="226"/>
      <c r="E33" s="226"/>
      <c r="F33" s="226" t="s">
        <v>198</v>
      </c>
      <c r="G33" s="226"/>
      <c r="H33" s="226"/>
      <c r="I33" s="226"/>
      <c r="J33" s="226" t="s">
        <v>171</v>
      </c>
      <c r="K33" s="226"/>
      <c r="L33" s="226" t="s">
        <v>172</v>
      </c>
      <c r="M33" s="226"/>
      <c r="N33" s="226"/>
      <c r="O33" s="227"/>
      <c r="P33" s="278">
        <v>62.439000000000007</v>
      </c>
      <c r="Q33" s="279"/>
      <c r="R33" s="233">
        <f t="shared" ref="R33" si="6">P33*$K$9</f>
        <v>112.39020000000002</v>
      </c>
      <c r="S33" s="232"/>
      <c r="U33" s="388"/>
      <c r="V33" s="388"/>
      <c r="W33" s="388"/>
      <c r="X33" s="388"/>
      <c r="Y33" s="388"/>
      <c r="Z33" s="388"/>
      <c r="AA33" s="388"/>
    </row>
    <row r="34" spans="2:27" ht="23.45" customHeight="1">
      <c r="B34" s="225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7"/>
      <c r="P34" s="280"/>
      <c r="Q34" s="281"/>
      <c r="R34" s="233"/>
      <c r="S34" s="232"/>
      <c r="U34" s="388"/>
      <c r="V34" s="388"/>
      <c r="W34" s="388"/>
      <c r="X34" s="388"/>
      <c r="Y34" s="388"/>
      <c r="Z34" s="388"/>
      <c r="AA34" s="388"/>
    </row>
    <row r="35" spans="2:27" ht="23.45" customHeight="1">
      <c r="B35" s="225">
        <v>11</v>
      </c>
      <c r="C35" s="226" t="s">
        <v>173</v>
      </c>
      <c r="D35" s="226"/>
      <c r="E35" s="226"/>
      <c r="F35" s="226" t="s">
        <v>174</v>
      </c>
      <c r="G35" s="226"/>
      <c r="H35" s="226"/>
      <c r="I35" s="226"/>
      <c r="J35" s="226" t="s">
        <v>175</v>
      </c>
      <c r="K35" s="226"/>
      <c r="L35" s="226" t="s">
        <v>176</v>
      </c>
      <c r="M35" s="226"/>
      <c r="N35" s="226"/>
      <c r="O35" s="227"/>
      <c r="P35" s="278">
        <v>72.28</v>
      </c>
      <c r="Q35" s="279"/>
      <c r="R35" s="233">
        <f t="shared" ref="R35" si="7">P35*$K$9</f>
        <v>130.10400000000001</v>
      </c>
      <c r="S35" s="232"/>
    </row>
    <row r="36" spans="2:27" ht="23.45" customHeight="1">
      <c r="B36" s="225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/>
      <c r="P36" s="280"/>
      <c r="Q36" s="281"/>
      <c r="R36" s="233"/>
      <c r="S36" s="232"/>
    </row>
    <row r="37" spans="2:27" ht="23.45" customHeight="1">
      <c r="B37" s="225">
        <v>12</v>
      </c>
      <c r="C37" s="226" t="s">
        <v>177</v>
      </c>
      <c r="D37" s="226"/>
      <c r="E37" s="226"/>
      <c r="F37" s="226" t="s">
        <v>178</v>
      </c>
      <c r="G37" s="226"/>
      <c r="H37" s="226"/>
      <c r="I37" s="226"/>
      <c r="J37" s="226" t="s">
        <v>179</v>
      </c>
      <c r="K37" s="226"/>
      <c r="L37" s="226" t="s">
        <v>180</v>
      </c>
      <c r="M37" s="226"/>
      <c r="N37" s="226"/>
      <c r="O37" s="227"/>
      <c r="P37" s="278">
        <v>81.939000000000007</v>
      </c>
      <c r="Q37" s="279"/>
      <c r="R37" s="233">
        <f t="shared" ref="R37" si="8">P37*$K$9</f>
        <v>147.49020000000002</v>
      </c>
      <c r="S37" s="232"/>
    </row>
    <row r="38" spans="2:27" ht="23.45" customHeight="1"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7"/>
      <c r="P38" s="280"/>
      <c r="Q38" s="281"/>
      <c r="R38" s="233"/>
      <c r="S38" s="232"/>
    </row>
    <row r="39" spans="2:27" ht="23.45" customHeight="1">
      <c r="B39" s="225">
        <v>13</v>
      </c>
      <c r="C39" s="226" t="s">
        <v>181</v>
      </c>
      <c r="D39" s="226"/>
      <c r="E39" s="226"/>
      <c r="F39" s="226" t="s">
        <v>199</v>
      </c>
      <c r="G39" s="226"/>
      <c r="H39" s="226"/>
      <c r="I39" s="226"/>
      <c r="J39" s="226" t="s">
        <v>200</v>
      </c>
      <c r="K39" s="226"/>
      <c r="L39" s="226" t="s">
        <v>182</v>
      </c>
      <c r="M39" s="226"/>
      <c r="N39" s="226"/>
      <c r="O39" s="227"/>
      <c r="P39" s="278">
        <v>87.789000000000001</v>
      </c>
      <c r="Q39" s="279"/>
      <c r="R39" s="233">
        <f t="shared" ref="R39" si="9">P39*$K$9</f>
        <v>158.02020000000002</v>
      </c>
      <c r="S39" s="232"/>
      <c r="U39" s="97"/>
      <c r="V39" s="97"/>
      <c r="W39" s="97"/>
      <c r="X39" s="97"/>
      <c r="Y39" s="98"/>
      <c r="Z39" s="97"/>
      <c r="AA39" s="98"/>
    </row>
    <row r="40" spans="2:27" ht="23.45" customHeight="1" thickBot="1">
      <c r="B40" s="287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9"/>
      <c r="P40" s="290"/>
      <c r="Q40" s="291"/>
      <c r="R40" s="284"/>
      <c r="S40" s="285"/>
      <c r="U40" s="97"/>
      <c r="V40" s="97"/>
      <c r="W40" s="97"/>
      <c r="X40" s="97"/>
      <c r="Y40" s="98"/>
      <c r="Z40" s="97"/>
      <c r="AA40" s="98"/>
    </row>
    <row r="41" spans="2:27">
      <c r="U41" s="97"/>
      <c r="V41" s="97"/>
      <c r="W41" s="97"/>
      <c r="X41" s="97"/>
      <c r="Y41" s="98"/>
      <c r="Z41" s="97"/>
      <c r="AA41" s="98"/>
    </row>
    <row r="42" spans="2:27">
      <c r="B42" s="43" t="s">
        <v>207</v>
      </c>
      <c r="U42" s="97"/>
      <c r="V42" s="97"/>
      <c r="W42" s="97"/>
      <c r="X42" s="97"/>
      <c r="Y42" s="98"/>
      <c r="Z42" s="97"/>
      <c r="AA42" s="98"/>
    </row>
    <row r="43" spans="2:27" ht="10.9" customHeight="1">
      <c r="U43" s="39"/>
      <c r="V43" s="39"/>
      <c r="W43" s="39"/>
      <c r="X43" s="39"/>
      <c r="Y43" s="39"/>
      <c r="Z43" s="39"/>
      <c r="AA43" s="39"/>
    </row>
    <row r="44" spans="2:27">
      <c r="B44" s="44" t="s">
        <v>208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2:27">
      <c r="B45" s="62" t="s">
        <v>2</v>
      </c>
      <c r="C45" s="63">
        <v>0.4</v>
      </c>
      <c r="D45" s="63">
        <v>0.45</v>
      </c>
      <c r="E45" s="63">
        <v>0.5</v>
      </c>
      <c r="F45" s="63">
        <v>0.55000000000000004</v>
      </c>
      <c r="G45" s="63">
        <v>0.6</v>
      </c>
      <c r="H45" s="63">
        <v>0.65</v>
      </c>
      <c r="I45" s="63">
        <v>0.7</v>
      </c>
      <c r="J45" s="63">
        <v>0.75</v>
      </c>
      <c r="K45" s="63">
        <v>0.8</v>
      </c>
      <c r="L45" s="63">
        <v>0.85</v>
      </c>
      <c r="M45" s="63">
        <v>0.9</v>
      </c>
      <c r="N45" s="63">
        <v>0.95</v>
      </c>
      <c r="O45" s="63">
        <v>1</v>
      </c>
      <c r="P45" s="63">
        <v>1.05</v>
      </c>
      <c r="Q45" s="63">
        <v>1.1000000000000001</v>
      </c>
      <c r="R45" s="63">
        <v>1.1499999999999999</v>
      </c>
      <c r="S45" s="63">
        <v>1.2</v>
      </c>
    </row>
    <row r="46" spans="2:27">
      <c r="B46" s="64" t="s">
        <v>3</v>
      </c>
      <c r="C46" s="65">
        <v>23.45</v>
      </c>
      <c r="D46" s="65">
        <v>23.716000000000001</v>
      </c>
      <c r="E46" s="65">
        <v>23.968</v>
      </c>
      <c r="F46" s="65">
        <v>24.22</v>
      </c>
      <c r="G46" s="65">
        <v>24.471999999999998</v>
      </c>
      <c r="H46" s="65">
        <v>24.738</v>
      </c>
      <c r="I46" s="65">
        <v>25.591999999999999</v>
      </c>
      <c r="J46" s="65">
        <v>25.844000000000001</v>
      </c>
      <c r="K46" s="65">
        <v>26.096</v>
      </c>
      <c r="L46" s="65">
        <v>29.861999999999995</v>
      </c>
      <c r="M46" s="65">
        <v>30.114000000000001</v>
      </c>
      <c r="N46" s="65">
        <v>30.366</v>
      </c>
      <c r="O46" s="65">
        <v>30.617999999999999</v>
      </c>
      <c r="P46" s="65">
        <v>34.383999999999993</v>
      </c>
      <c r="Q46" s="65">
        <v>34.635999999999996</v>
      </c>
      <c r="R46" s="65">
        <v>34.887999999999998</v>
      </c>
      <c r="S46" s="65">
        <v>35.14</v>
      </c>
    </row>
    <row r="47" spans="2:27">
      <c r="B47" s="64" t="s">
        <v>4</v>
      </c>
      <c r="C47" s="65">
        <f>C46*$K$9</f>
        <v>42.21</v>
      </c>
      <c r="D47" s="65">
        <f t="shared" ref="D47:S47" si="10">D46*$K$9</f>
        <v>42.688800000000001</v>
      </c>
      <c r="E47" s="65">
        <f t="shared" si="10"/>
        <v>43.142400000000002</v>
      </c>
      <c r="F47" s="65">
        <f t="shared" si="10"/>
        <v>43.595999999999997</v>
      </c>
      <c r="G47" s="65">
        <f t="shared" si="10"/>
        <v>44.049599999999998</v>
      </c>
      <c r="H47" s="65">
        <f t="shared" si="10"/>
        <v>44.528399999999998</v>
      </c>
      <c r="I47" s="65">
        <f t="shared" si="10"/>
        <v>46.065599999999996</v>
      </c>
      <c r="J47" s="65">
        <f t="shared" si="10"/>
        <v>46.519200000000005</v>
      </c>
      <c r="K47" s="65">
        <f t="shared" si="10"/>
        <v>46.972799999999999</v>
      </c>
      <c r="L47" s="65">
        <f t="shared" si="10"/>
        <v>53.751599999999989</v>
      </c>
      <c r="M47" s="65">
        <f t="shared" si="10"/>
        <v>54.205200000000005</v>
      </c>
      <c r="N47" s="65">
        <f t="shared" si="10"/>
        <v>54.658799999999999</v>
      </c>
      <c r="O47" s="65">
        <f t="shared" si="10"/>
        <v>55.112400000000001</v>
      </c>
      <c r="P47" s="65">
        <f t="shared" si="10"/>
        <v>61.891199999999991</v>
      </c>
      <c r="Q47" s="65">
        <f t="shared" si="10"/>
        <v>62.344799999999992</v>
      </c>
      <c r="R47" s="65">
        <f t="shared" si="10"/>
        <v>62.798400000000001</v>
      </c>
      <c r="S47" s="65">
        <f t="shared" si="10"/>
        <v>63.252000000000002</v>
      </c>
    </row>
    <row r="50" spans="2:27">
      <c r="B50" s="43" t="s">
        <v>209</v>
      </c>
    </row>
    <row r="52" spans="2:27">
      <c r="B52" s="44" t="s">
        <v>210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2:27">
      <c r="B53" s="62" t="s">
        <v>2</v>
      </c>
      <c r="C53" s="63">
        <v>0.8</v>
      </c>
      <c r="D53" s="63">
        <v>0.9</v>
      </c>
      <c r="E53" s="63">
        <v>1</v>
      </c>
      <c r="F53" s="63">
        <v>1.1000000000000001</v>
      </c>
      <c r="G53" s="63">
        <v>1.2</v>
      </c>
      <c r="H53" s="63">
        <v>1.3</v>
      </c>
      <c r="I53" s="63">
        <v>1.4</v>
      </c>
      <c r="J53" s="63">
        <v>1.5</v>
      </c>
      <c r="K53" s="63">
        <v>1.6</v>
      </c>
      <c r="L53" s="63">
        <v>1.7</v>
      </c>
      <c r="M53" s="63">
        <v>1.8</v>
      </c>
      <c r="N53" s="63">
        <v>1.9</v>
      </c>
      <c r="O53" s="63">
        <v>2</v>
      </c>
      <c r="P53" s="63">
        <v>2.1</v>
      </c>
      <c r="Q53" s="63">
        <v>2.2000000000000002</v>
      </c>
      <c r="R53" s="63">
        <v>2.2999999999999998</v>
      </c>
      <c r="S53" s="63">
        <v>2.4</v>
      </c>
      <c r="T53" s="63">
        <v>2.5</v>
      </c>
      <c r="U53" s="63">
        <v>2.6</v>
      </c>
      <c r="V53" s="63">
        <v>2.7</v>
      </c>
      <c r="W53" s="63">
        <v>2.8</v>
      </c>
      <c r="X53" s="63">
        <v>2.9</v>
      </c>
      <c r="Y53" s="63">
        <v>3</v>
      </c>
    </row>
    <row r="54" spans="2:27">
      <c r="B54" s="64" t="s">
        <v>3</v>
      </c>
      <c r="C54" s="65">
        <v>35.671999999999997</v>
      </c>
      <c r="D54" s="65">
        <v>38.863999999999997</v>
      </c>
      <c r="E54" s="65">
        <v>42.055999999999997</v>
      </c>
      <c r="F54" s="65">
        <v>45.234000000000002</v>
      </c>
      <c r="G54" s="65">
        <v>48.426000000000002</v>
      </c>
      <c r="H54" s="65">
        <v>52.247999999999998</v>
      </c>
      <c r="I54" s="65">
        <v>55.426000000000002</v>
      </c>
      <c r="J54" s="65">
        <v>58.617999999999995</v>
      </c>
      <c r="K54" s="65">
        <v>61.809999999999995</v>
      </c>
      <c r="L54" s="65">
        <v>64.988</v>
      </c>
      <c r="M54" s="65">
        <v>68.809999999999988</v>
      </c>
      <c r="N54" s="65">
        <v>72.001999999999995</v>
      </c>
      <c r="O54" s="65">
        <v>75.194000000000003</v>
      </c>
      <c r="P54" s="65">
        <v>78.371999999999986</v>
      </c>
      <c r="Q54" s="65">
        <v>82.194000000000003</v>
      </c>
      <c r="R54" s="65">
        <v>85.385999999999996</v>
      </c>
      <c r="S54" s="65">
        <v>88.563999999999993</v>
      </c>
      <c r="T54" s="65">
        <v>92.385999999999981</v>
      </c>
      <c r="U54" s="65">
        <v>95.577999999999989</v>
      </c>
      <c r="V54" s="65">
        <v>98.756</v>
      </c>
      <c r="W54" s="65">
        <v>101.94799999999998</v>
      </c>
      <c r="X54" s="65">
        <v>105.13999999999999</v>
      </c>
      <c r="Y54" s="65">
        <v>108.33199999999999</v>
      </c>
    </row>
    <row r="55" spans="2:27">
      <c r="B55" s="64" t="s">
        <v>4</v>
      </c>
      <c r="C55" s="65">
        <f>C54*$K$9</f>
        <v>64.209599999999995</v>
      </c>
      <c r="D55" s="65">
        <f t="shared" ref="D55:Y55" si="11">D54*$K$9</f>
        <v>69.955199999999991</v>
      </c>
      <c r="E55" s="65">
        <f t="shared" si="11"/>
        <v>75.700800000000001</v>
      </c>
      <c r="F55" s="65">
        <f t="shared" si="11"/>
        <v>81.421199999999999</v>
      </c>
      <c r="G55" s="65">
        <f t="shared" si="11"/>
        <v>87.166800000000009</v>
      </c>
      <c r="H55" s="65">
        <f t="shared" si="11"/>
        <v>94.046399999999991</v>
      </c>
      <c r="I55" s="65">
        <f t="shared" si="11"/>
        <v>99.766800000000003</v>
      </c>
      <c r="J55" s="65">
        <f t="shared" si="11"/>
        <v>105.5124</v>
      </c>
      <c r="K55" s="65">
        <f t="shared" si="11"/>
        <v>111.258</v>
      </c>
      <c r="L55" s="65">
        <f t="shared" si="11"/>
        <v>116.97840000000001</v>
      </c>
      <c r="M55" s="65">
        <f t="shared" si="11"/>
        <v>123.85799999999998</v>
      </c>
      <c r="N55" s="65">
        <f t="shared" si="11"/>
        <v>129.6036</v>
      </c>
      <c r="O55" s="65">
        <f t="shared" si="11"/>
        <v>135.3492</v>
      </c>
      <c r="P55" s="65">
        <f t="shared" si="11"/>
        <v>141.06959999999998</v>
      </c>
      <c r="Q55" s="65">
        <f t="shared" si="11"/>
        <v>147.94920000000002</v>
      </c>
      <c r="R55" s="65">
        <f t="shared" si="11"/>
        <v>153.69479999999999</v>
      </c>
      <c r="S55" s="65">
        <f t="shared" si="11"/>
        <v>159.4152</v>
      </c>
      <c r="T55" s="65">
        <f t="shared" si="11"/>
        <v>166.29479999999998</v>
      </c>
      <c r="U55" s="65">
        <f t="shared" si="11"/>
        <v>172.04039999999998</v>
      </c>
      <c r="V55" s="65">
        <f t="shared" si="11"/>
        <v>177.76080000000002</v>
      </c>
      <c r="W55" s="65">
        <f t="shared" si="11"/>
        <v>183.50639999999996</v>
      </c>
      <c r="X55" s="65">
        <f t="shared" si="11"/>
        <v>189.25199999999998</v>
      </c>
      <c r="Y55" s="65">
        <f t="shared" si="11"/>
        <v>194.99760000000001</v>
      </c>
    </row>
    <row r="57" spans="2:27" ht="13.5" thickBot="1"/>
    <row r="58" spans="2:27" ht="21.75" thickBot="1">
      <c r="B58" s="70" t="s">
        <v>56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100"/>
      <c r="N58" s="100"/>
      <c r="X58" s="39"/>
      <c r="Y58" s="39"/>
    </row>
    <row r="59" spans="2:27" ht="16.5" thickBot="1">
      <c r="B59" s="72" t="s">
        <v>112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01"/>
      <c r="N59" s="101"/>
      <c r="O59" s="74"/>
      <c r="P59" s="74"/>
      <c r="Q59" s="74"/>
      <c r="R59" s="74"/>
      <c r="S59" s="74"/>
      <c r="T59" s="74"/>
      <c r="U59" s="74"/>
      <c r="X59" s="39"/>
      <c r="Y59" s="39"/>
    </row>
    <row r="60" spans="2:27" ht="16.5" thickBot="1">
      <c r="B60" s="72" t="s">
        <v>113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101"/>
      <c r="N60" s="101"/>
      <c r="O60" s="74"/>
      <c r="P60" s="74"/>
      <c r="Q60" s="74"/>
      <c r="R60" s="74"/>
      <c r="S60" s="74"/>
      <c r="T60" s="74"/>
      <c r="U60" s="39"/>
      <c r="V60" s="39"/>
      <c r="W60" s="39"/>
      <c r="X60" s="39"/>
      <c r="Y60" s="39"/>
    </row>
    <row r="61" spans="2:27" ht="15" customHeight="1" thickBot="1">
      <c r="B61" s="75" t="s">
        <v>114</v>
      </c>
      <c r="U61" s="39"/>
      <c r="V61" s="39"/>
      <c r="W61" s="39"/>
      <c r="X61" s="39"/>
      <c r="Y61" s="39"/>
      <c r="Z61" s="39"/>
    </row>
    <row r="62" spans="2:27" ht="21.75" thickBot="1">
      <c r="B62" s="76" t="s">
        <v>118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77"/>
      <c r="U62" s="39"/>
      <c r="V62" s="39"/>
      <c r="W62" s="39"/>
      <c r="X62" s="39"/>
      <c r="Y62" s="39"/>
      <c r="Z62" s="39"/>
    </row>
    <row r="63" spans="2:27" ht="21.75" thickBot="1">
      <c r="B63" s="76" t="s">
        <v>119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4"/>
      <c r="T63" s="74"/>
      <c r="U63" s="39"/>
      <c r="V63" s="39"/>
      <c r="W63" s="39"/>
      <c r="X63" s="39"/>
      <c r="Y63" s="39"/>
      <c r="Z63" s="39"/>
      <c r="AA63" s="39"/>
    </row>
    <row r="64" spans="2:27">
      <c r="Z64" s="39"/>
    </row>
  </sheetData>
  <sheetProtection password="CFE4" sheet="1" objects="1" scenarios="1"/>
  <mergeCells count="120">
    <mergeCell ref="R39:S40"/>
    <mergeCell ref="U29:AA34"/>
    <mergeCell ref="B39:B40"/>
    <mergeCell ref="C39:E40"/>
    <mergeCell ref="F39:I40"/>
    <mergeCell ref="J39:K40"/>
    <mergeCell ref="L39:O40"/>
    <mergeCell ref="P39:Q40"/>
    <mergeCell ref="R35:S36"/>
    <mergeCell ref="B37:B38"/>
    <mergeCell ref="C37:E38"/>
    <mergeCell ref="F37:I38"/>
    <mergeCell ref="J37:K38"/>
    <mergeCell ref="L37:O38"/>
    <mergeCell ref="P37:Q38"/>
    <mergeCell ref="R37:S38"/>
    <mergeCell ref="B35:B36"/>
    <mergeCell ref="C35:E36"/>
    <mergeCell ref="F35:I36"/>
    <mergeCell ref="J35:K36"/>
    <mergeCell ref="L35:O36"/>
    <mergeCell ref="P35:Q36"/>
    <mergeCell ref="R31:S32"/>
    <mergeCell ref="B33:B34"/>
    <mergeCell ref="B29:B30"/>
    <mergeCell ref="C29:E30"/>
    <mergeCell ref="F29:I30"/>
    <mergeCell ref="J29:K30"/>
    <mergeCell ref="L29:O30"/>
    <mergeCell ref="P29:Q30"/>
    <mergeCell ref="R29:S30"/>
    <mergeCell ref="C33:E34"/>
    <mergeCell ref="F33:I34"/>
    <mergeCell ref="J33:K34"/>
    <mergeCell ref="L33:O34"/>
    <mergeCell ref="P33:Q34"/>
    <mergeCell ref="R33:S34"/>
    <mergeCell ref="B31:B32"/>
    <mergeCell ref="C31:E32"/>
    <mergeCell ref="F31:I32"/>
    <mergeCell ref="J31:K32"/>
    <mergeCell ref="L31:O32"/>
    <mergeCell ref="P31:Q32"/>
    <mergeCell ref="B26:B28"/>
    <mergeCell ref="C26:E28"/>
    <mergeCell ref="F26:I28"/>
    <mergeCell ref="J26:K28"/>
    <mergeCell ref="L26:O28"/>
    <mergeCell ref="P26:Q28"/>
    <mergeCell ref="R26:S28"/>
    <mergeCell ref="U26:W26"/>
    <mergeCell ref="U27:W27"/>
    <mergeCell ref="Z22:AA22"/>
    <mergeCell ref="B24:B25"/>
    <mergeCell ref="C24:E25"/>
    <mergeCell ref="F24:I25"/>
    <mergeCell ref="J24:K25"/>
    <mergeCell ref="L24:O25"/>
    <mergeCell ref="P24:Q25"/>
    <mergeCell ref="R24:S25"/>
    <mergeCell ref="U24:W24"/>
    <mergeCell ref="U25:W25"/>
    <mergeCell ref="B22:B23"/>
    <mergeCell ref="C22:E23"/>
    <mergeCell ref="F22:I23"/>
    <mergeCell ref="J22:K23"/>
    <mergeCell ref="L22:O23"/>
    <mergeCell ref="P22:Q23"/>
    <mergeCell ref="R22:S23"/>
    <mergeCell ref="U22:W23"/>
    <mergeCell ref="X22:Y22"/>
    <mergeCell ref="B19:B21"/>
    <mergeCell ref="C19:E21"/>
    <mergeCell ref="F19:I21"/>
    <mergeCell ref="J19:K21"/>
    <mergeCell ref="L19:O21"/>
    <mergeCell ref="P19:Q21"/>
    <mergeCell ref="R19:S21"/>
    <mergeCell ref="Y19:Z19"/>
    <mergeCell ref="Y20:Z20"/>
    <mergeCell ref="AA16:AF17"/>
    <mergeCell ref="B17:B18"/>
    <mergeCell ref="C17:E18"/>
    <mergeCell ref="F17:I18"/>
    <mergeCell ref="J17:K18"/>
    <mergeCell ref="L17:O18"/>
    <mergeCell ref="P17:Q18"/>
    <mergeCell ref="R17:S18"/>
    <mergeCell ref="U17:W17"/>
    <mergeCell ref="Y17:Z17"/>
    <mergeCell ref="U18:W18"/>
    <mergeCell ref="Y18:Z18"/>
    <mergeCell ref="R13:S14"/>
    <mergeCell ref="U13:W13"/>
    <mergeCell ref="Y13:Z13"/>
    <mergeCell ref="U14:W14"/>
    <mergeCell ref="Y14:Z14"/>
    <mergeCell ref="B15:B16"/>
    <mergeCell ref="C15:E16"/>
    <mergeCell ref="F15:I16"/>
    <mergeCell ref="J15:K16"/>
    <mergeCell ref="L15:O16"/>
    <mergeCell ref="B13:B14"/>
    <mergeCell ref="C13:E14"/>
    <mergeCell ref="F13:I14"/>
    <mergeCell ref="J13:K14"/>
    <mergeCell ref="L13:O14"/>
    <mergeCell ref="P13:Q14"/>
    <mergeCell ref="P15:Q16"/>
    <mergeCell ref="R15:S16"/>
    <mergeCell ref="Y16:Z16"/>
    <mergeCell ref="U4:AG4"/>
    <mergeCell ref="U5:AG5"/>
    <mergeCell ref="C12:E12"/>
    <mergeCell ref="F12:I12"/>
    <mergeCell ref="J12:K12"/>
    <mergeCell ref="L12:O12"/>
    <mergeCell ref="P12:Q12"/>
    <mergeCell ref="R12:S12"/>
    <mergeCell ref="U12:W12"/>
  </mergeCells>
  <pageMargins left="0.25" right="0.25" top="0.75" bottom="0.75" header="0.3" footer="0.3"/>
  <pageSetup paperSize="9" scale="48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4"/>
  <sheetViews>
    <sheetView topLeftCell="A22" zoomScale="90" zoomScaleNormal="90" workbookViewId="0">
      <selection activeCell="B88" sqref="B88"/>
    </sheetView>
  </sheetViews>
  <sheetFormatPr defaultColWidth="9.1640625" defaultRowHeight="12.75"/>
  <cols>
    <col min="1" max="1" width="13.1640625" style="36" customWidth="1"/>
    <col min="2" max="2" width="17.5" style="36" customWidth="1"/>
    <col min="3" max="20" width="10" style="36" customWidth="1"/>
    <col min="21" max="22" width="12.33203125" style="36" customWidth="1"/>
    <col min="23" max="23" width="9.1640625" style="36" customWidth="1"/>
    <col min="24" max="24" width="11.83203125" style="36" customWidth="1"/>
    <col min="25" max="25" width="11.5" style="36" customWidth="1"/>
    <col min="26" max="27" width="12.5" style="36" customWidth="1"/>
    <col min="28" max="29" width="9.6640625" style="36" customWidth="1"/>
    <col min="30" max="16384" width="9.1640625" style="36"/>
  </cols>
  <sheetData>
    <row r="1" spans="2:33">
      <c r="U1" s="37" t="s">
        <v>26</v>
      </c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</row>
    <row r="2" spans="2:33">
      <c r="U2" s="38" t="s">
        <v>121</v>
      </c>
      <c r="V2" s="38"/>
      <c r="W2" s="38"/>
      <c r="X2" s="38"/>
      <c r="Y2" s="38"/>
      <c r="Z2" s="38"/>
      <c r="AA2" s="39"/>
      <c r="AB2" s="39"/>
      <c r="AC2" s="39"/>
      <c r="AD2" s="39"/>
      <c r="AE2" s="39"/>
      <c r="AF2" s="39"/>
      <c r="AG2" s="39"/>
    </row>
    <row r="3" spans="2:33" ht="18.600000000000001" customHeight="1">
      <c r="U3" s="38" t="s">
        <v>215</v>
      </c>
      <c r="V3" s="38"/>
      <c r="W3" s="38"/>
      <c r="X3" s="38"/>
      <c r="Y3" s="38"/>
      <c r="Z3" s="38"/>
      <c r="AA3" s="39"/>
      <c r="AB3" s="39"/>
      <c r="AC3" s="39"/>
      <c r="AD3" s="39"/>
      <c r="AE3" s="39"/>
      <c r="AF3" s="39"/>
      <c r="AG3" s="39"/>
    </row>
    <row r="4" spans="2:33" ht="34.9" customHeight="1">
      <c r="U4" s="216" t="s">
        <v>216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</row>
    <row r="5" spans="2:33" ht="22.9" customHeight="1">
      <c r="U5" s="216" t="s">
        <v>124</v>
      </c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</row>
    <row r="6" spans="2:33">
      <c r="U6" s="38" t="s">
        <v>125</v>
      </c>
      <c r="V6" s="38"/>
      <c r="W6" s="38"/>
      <c r="X6" s="38"/>
      <c r="Y6" s="38"/>
      <c r="Z6" s="38"/>
      <c r="AA6" s="39"/>
      <c r="AB6" s="39"/>
      <c r="AC6" s="39"/>
      <c r="AD6" s="39"/>
      <c r="AE6" s="39"/>
      <c r="AF6" s="39"/>
      <c r="AG6" s="39"/>
    </row>
    <row r="7" spans="2:33">
      <c r="U7" s="40"/>
      <c r="V7" s="41" t="s">
        <v>33</v>
      </c>
      <c r="W7" s="40" t="s">
        <v>217</v>
      </c>
      <c r="X7" s="42"/>
      <c r="Y7" s="42"/>
      <c r="Z7" s="42"/>
      <c r="AA7" s="42"/>
      <c r="AB7" s="40"/>
      <c r="AC7" s="40"/>
      <c r="AD7" s="40"/>
      <c r="AE7" s="40"/>
      <c r="AF7" s="40"/>
      <c r="AG7" s="40"/>
    </row>
    <row r="8" spans="2:33" ht="13.5" thickBot="1"/>
    <row r="9" spans="2:33" ht="18.75" thickBot="1">
      <c r="B9" s="118" t="s">
        <v>0</v>
      </c>
      <c r="C9" s="81">
        <v>68</v>
      </c>
      <c r="D9" s="36" t="s">
        <v>38</v>
      </c>
      <c r="J9" s="91" t="s">
        <v>62</v>
      </c>
      <c r="K9" s="81">
        <v>1.8</v>
      </c>
      <c r="L9" s="36" t="s">
        <v>38</v>
      </c>
      <c r="U9" s="43" t="s">
        <v>68</v>
      </c>
    </row>
    <row r="10" spans="2:33">
      <c r="U10" s="43" t="s">
        <v>69</v>
      </c>
    </row>
    <row r="11" spans="2:33" ht="15.75" thickBot="1">
      <c r="B11" s="44" t="s">
        <v>218</v>
      </c>
      <c r="U11" s="45"/>
    </row>
    <row r="12" spans="2:33" ht="40.15" customHeight="1" thickBot="1">
      <c r="B12" s="46" t="s">
        <v>71</v>
      </c>
      <c r="C12" s="364" t="s">
        <v>127</v>
      </c>
      <c r="D12" s="364"/>
      <c r="E12" s="364"/>
      <c r="F12" s="364" t="s">
        <v>72</v>
      </c>
      <c r="G12" s="364"/>
      <c r="H12" s="364"/>
      <c r="I12" s="364"/>
      <c r="J12" s="364" t="s">
        <v>128</v>
      </c>
      <c r="K12" s="364"/>
      <c r="L12" s="364" t="s">
        <v>129</v>
      </c>
      <c r="M12" s="364"/>
      <c r="N12" s="364"/>
      <c r="O12" s="365"/>
      <c r="P12" s="219" t="s">
        <v>13</v>
      </c>
      <c r="Q12" s="220"/>
      <c r="R12" s="221" t="s">
        <v>14</v>
      </c>
      <c r="S12" s="220"/>
      <c r="U12" s="222" t="s">
        <v>35</v>
      </c>
      <c r="V12" s="223"/>
      <c r="W12" s="224"/>
      <c r="X12" s="47" t="s">
        <v>36</v>
      </c>
      <c r="Y12" s="48"/>
      <c r="Z12" s="49"/>
      <c r="AA12" s="39"/>
    </row>
    <row r="13" spans="2:33" ht="18" customHeight="1">
      <c r="B13" s="228">
        <v>1</v>
      </c>
      <c r="C13" s="229" t="s">
        <v>130</v>
      </c>
      <c r="D13" s="229"/>
      <c r="E13" s="229"/>
      <c r="F13" s="229" t="s">
        <v>131</v>
      </c>
      <c r="G13" s="229"/>
      <c r="H13" s="229"/>
      <c r="I13" s="229"/>
      <c r="J13" s="229"/>
      <c r="K13" s="229"/>
      <c r="L13" s="229" t="s">
        <v>132</v>
      </c>
      <c r="M13" s="229"/>
      <c r="N13" s="229"/>
      <c r="O13" s="230"/>
      <c r="P13" s="254">
        <f>'[3]ПРАЙС ТКАНИ'!G8</f>
        <v>11.927999999999999</v>
      </c>
      <c r="Q13" s="245"/>
      <c r="R13" s="244">
        <f>P13*$K$9</f>
        <v>21.470399999999998</v>
      </c>
      <c r="S13" s="245"/>
      <c r="U13" s="246" t="s">
        <v>219</v>
      </c>
      <c r="V13" s="247"/>
      <c r="W13" s="248"/>
      <c r="X13" s="92">
        <v>2.8</v>
      </c>
      <c r="Y13" s="249" t="s">
        <v>38</v>
      </c>
      <c r="Z13" s="250"/>
      <c r="AA13" s="131" t="s">
        <v>220</v>
      </c>
    </row>
    <row r="14" spans="2:33" ht="18" customHeight="1"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7"/>
      <c r="P14" s="231"/>
      <c r="Q14" s="232"/>
      <c r="R14" s="233"/>
      <c r="S14" s="232"/>
      <c r="U14" s="251" t="s">
        <v>40</v>
      </c>
      <c r="V14" s="252"/>
      <c r="W14" s="253"/>
      <c r="X14" s="93">
        <v>2.6</v>
      </c>
      <c r="Y14" s="249" t="s">
        <v>38</v>
      </c>
      <c r="Z14" s="250"/>
      <c r="AA14" s="50"/>
    </row>
    <row r="15" spans="2:33" ht="18.600000000000001" customHeight="1">
      <c r="B15" s="225">
        <v>2</v>
      </c>
      <c r="C15" s="226" t="s">
        <v>133</v>
      </c>
      <c r="D15" s="226"/>
      <c r="E15" s="226"/>
      <c r="F15" s="226" t="s">
        <v>134</v>
      </c>
      <c r="G15" s="226"/>
      <c r="H15" s="226"/>
      <c r="I15" s="226"/>
      <c r="J15" s="226" t="s">
        <v>135</v>
      </c>
      <c r="K15" s="226"/>
      <c r="L15" s="226" t="s">
        <v>136</v>
      </c>
      <c r="M15" s="226"/>
      <c r="N15" s="226"/>
      <c r="O15" s="227"/>
      <c r="P15" s="231">
        <f>'[3]ПРАЙС ТКАНИ'!G9</f>
        <v>12.564</v>
      </c>
      <c r="Q15" s="232"/>
      <c r="R15" s="233">
        <f t="shared" ref="R15:R26" si="0">P15*$K$9</f>
        <v>22.615200000000002</v>
      </c>
      <c r="S15" s="232"/>
      <c r="U15" s="251" t="s">
        <v>221</v>
      </c>
      <c r="V15" s="252"/>
      <c r="W15" s="253"/>
      <c r="X15" s="93">
        <v>0.6</v>
      </c>
      <c r="Y15" s="249" t="s">
        <v>38</v>
      </c>
      <c r="Z15" s="250"/>
      <c r="AA15" s="131" t="s">
        <v>222</v>
      </c>
    </row>
    <row r="16" spans="2:33" ht="28.9" customHeight="1">
      <c r="B16" s="225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7"/>
      <c r="P16" s="231"/>
      <c r="Q16" s="232"/>
      <c r="R16" s="233"/>
      <c r="S16" s="232"/>
      <c r="U16" s="251" t="s">
        <v>223</v>
      </c>
      <c r="V16" s="252"/>
      <c r="W16" s="253"/>
      <c r="X16" s="132">
        <f>ROUNDUP(X13/(X15-0.04),0)</f>
        <v>5</v>
      </c>
      <c r="Y16" s="242" t="s">
        <v>224</v>
      </c>
      <c r="Z16" s="243"/>
      <c r="AA16" s="39"/>
    </row>
    <row r="17" spans="2:32" ht="34.9" customHeight="1">
      <c r="B17" s="225">
        <v>3</v>
      </c>
      <c r="C17" s="226" t="s">
        <v>138</v>
      </c>
      <c r="D17" s="226"/>
      <c r="E17" s="226"/>
      <c r="F17" s="226" t="s">
        <v>139</v>
      </c>
      <c r="G17" s="226"/>
      <c r="H17" s="226"/>
      <c r="I17" s="226"/>
      <c r="J17" s="226" t="s">
        <v>140</v>
      </c>
      <c r="K17" s="226"/>
      <c r="L17" s="226" t="s">
        <v>141</v>
      </c>
      <c r="M17" s="226"/>
      <c r="N17" s="226"/>
      <c r="O17" s="227"/>
      <c r="P17" s="231">
        <f>'[3]ПРАЙС ТКАНИ'!G10</f>
        <v>15.6</v>
      </c>
      <c r="Q17" s="232"/>
      <c r="R17" s="233">
        <f t="shared" si="0"/>
        <v>28.08</v>
      </c>
      <c r="S17" s="232"/>
      <c r="U17" s="389" t="s">
        <v>225</v>
      </c>
      <c r="V17" s="390"/>
      <c r="W17" s="391"/>
      <c r="X17" s="51">
        <f>IF(X13&lt;1.401,3,IF(X13&lt;2.251,4,IF(X13&lt;2.801,5,5)))</f>
        <v>5</v>
      </c>
      <c r="Y17" s="128">
        <f>X13/X17+0.04</f>
        <v>0.6</v>
      </c>
      <c r="Z17" s="133" t="s">
        <v>42</v>
      </c>
      <c r="AA17" s="39"/>
    </row>
    <row r="18" spans="2:32" ht="27" customHeight="1"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7"/>
      <c r="P18" s="231"/>
      <c r="Q18" s="232"/>
      <c r="R18" s="233"/>
      <c r="S18" s="232"/>
      <c r="U18" s="239" t="s">
        <v>11</v>
      </c>
      <c r="V18" s="240"/>
      <c r="W18" s="241"/>
      <c r="X18" s="93">
        <v>3</v>
      </c>
      <c r="Y18" s="242" t="s">
        <v>137</v>
      </c>
      <c r="Z18" s="243"/>
      <c r="AA18" s="413" t="s">
        <v>262</v>
      </c>
      <c r="AB18" s="292"/>
      <c r="AC18" s="292"/>
      <c r="AD18" s="292"/>
      <c r="AE18" s="292"/>
      <c r="AF18" s="292"/>
    </row>
    <row r="19" spans="2:32" ht="19.899999999999999" customHeight="1">
      <c r="B19" s="225">
        <v>4</v>
      </c>
      <c r="C19" s="226" t="s">
        <v>142</v>
      </c>
      <c r="D19" s="226"/>
      <c r="E19" s="226"/>
      <c r="F19" s="226" t="s">
        <v>143</v>
      </c>
      <c r="G19" s="226"/>
      <c r="H19" s="226"/>
      <c r="I19" s="226"/>
      <c r="J19" s="226" t="s">
        <v>144</v>
      </c>
      <c r="K19" s="226"/>
      <c r="L19" s="226" t="s">
        <v>145</v>
      </c>
      <c r="M19" s="226"/>
      <c r="N19" s="226"/>
      <c r="O19" s="227"/>
      <c r="P19" s="231">
        <f>'[3]ПРАЙС ТКАНИ'!G11</f>
        <v>21.635999999999999</v>
      </c>
      <c r="Q19" s="232"/>
      <c r="R19" s="233">
        <f>P19*$K$9</f>
        <v>38.944800000000001</v>
      </c>
      <c r="S19" s="232"/>
      <c r="U19" s="251" t="s">
        <v>226</v>
      </c>
      <c r="V19" s="252"/>
      <c r="W19" s="156" t="b">
        <v>0</v>
      </c>
      <c r="X19" s="155">
        <f>VLOOKUP(W19,флажок,2,0)</f>
        <v>0</v>
      </c>
      <c r="Y19" s="392" t="s">
        <v>227</v>
      </c>
      <c r="Z19" s="393"/>
      <c r="AA19" s="39"/>
    </row>
    <row r="20" spans="2:32" ht="19.899999999999999" customHeight="1"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7"/>
      <c r="P20" s="231"/>
      <c r="Q20" s="232"/>
      <c r="R20" s="233"/>
      <c r="S20" s="232"/>
      <c r="U20" s="251" t="s">
        <v>228</v>
      </c>
      <c r="V20" s="252"/>
      <c r="W20" s="156" t="b">
        <v>0</v>
      </c>
      <c r="X20" s="155">
        <f>VLOOKUP(W20,флажок,2,0)</f>
        <v>0</v>
      </c>
      <c r="Y20" s="394"/>
      <c r="Z20" s="395"/>
      <c r="AA20" s="39"/>
    </row>
    <row r="21" spans="2:32" ht="19.899999999999999" customHeight="1">
      <c r="B21" s="225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7"/>
      <c r="P21" s="231"/>
      <c r="Q21" s="232"/>
      <c r="R21" s="233"/>
      <c r="S21" s="232"/>
      <c r="U21" s="251" t="s">
        <v>229</v>
      </c>
      <c r="V21" s="252"/>
      <c r="W21" s="156" t="b">
        <v>1</v>
      </c>
      <c r="X21" s="155">
        <f>VLOOKUP(W21,флажок,2,0)</f>
        <v>1</v>
      </c>
      <c r="Y21" s="396"/>
      <c r="Z21" s="397"/>
      <c r="AA21" s="39"/>
    </row>
    <row r="22" spans="2:32" ht="34.15" customHeight="1">
      <c r="B22" s="225">
        <v>5</v>
      </c>
      <c r="C22" s="226" t="s">
        <v>147</v>
      </c>
      <c r="D22" s="226"/>
      <c r="E22" s="226"/>
      <c r="F22" s="226" t="s">
        <v>194</v>
      </c>
      <c r="G22" s="226"/>
      <c r="H22" s="226"/>
      <c r="I22" s="226"/>
      <c r="J22" s="226" t="s">
        <v>148</v>
      </c>
      <c r="K22" s="226"/>
      <c r="L22" s="226" t="s">
        <v>149</v>
      </c>
      <c r="M22" s="226"/>
      <c r="N22" s="226"/>
      <c r="O22" s="227"/>
      <c r="P22" s="231">
        <f>'[3]ПРАЙС ТКАНИ'!G12</f>
        <v>29.723999999999997</v>
      </c>
      <c r="Q22" s="232"/>
      <c r="R22" s="233">
        <f t="shared" si="0"/>
        <v>53.503199999999993</v>
      </c>
      <c r="S22" s="232"/>
      <c r="U22" s="251" t="s">
        <v>230</v>
      </c>
      <c r="V22" s="252"/>
      <c r="W22" s="156" t="b">
        <v>0</v>
      </c>
      <c r="X22" s="155">
        <f>VLOOKUP(W22,флажок,2,0)</f>
        <v>0</v>
      </c>
      <c r="Y22" s="242" t="s">
        <v>231</v>
      </c>
      <c r="Z22" s="243"/>
      <c r="AA22" s="414" t="s">
        <v>251</v>
      </c>
      <c r="AB22" s="415"/>
      <c r="AC22" s="415"/>
      <c r="AD22" s="415"/>
      <c r="AE22" s="415"/>
      <c r="AF22" s="415"/>
    </row>
    <row r="23" spans="2:32" ht="34.15" customHeight="1" thickBot="1">
      <c r="B23" s="225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P23" s="231"/>
      <c r="Q23" s="232"/>
      <c r="R23" s="233"/>
      <c r="S23" s="232"/>
      <c r="U23" s="52" t="s">
        <v>47</v>
      </c>
      <c r="V23" s="53"/>
      <c r="W23" s="54"/>
      <c r="X23" s="94">
        <v>1</v>
      </c>
      <c r="Y23" s="249" t="s">
        <v>38</v>
      </c>
      <c r="Z23" s="250"/>
      <c r="AA23" s="39"/>
    </row>
    <row r="24" spans="2:32" ht="31.15" customHeight="1" thickBot="1">
      <c r="B24" s="225">
        <v>6</v>
      </c>
      <c r="C24" s="226" t="s">
        <v>152</v>
      </c>
      <c r="D24" s="226"/>
      <c r="E24" s="226"/>
      <c r="F24" s="226" t="s">
        <v>153</v>
      </c>
      <c r="G24" s="226"/>
      <c r="H24" s="226"/>
      <c r="I24" s="226"/>
      <c r="J24" s="226" t="s">
        <v>195</v>
      </c>
      <c r="K24" s="226"/>
      <c r="L24" s="226" t="s">
        <v>154</v>
      </c>
      <c r="M24" s="226"/>
      <c r="N24" s="226"/>
      <c r="O24" s="227"/>
      <c r="P24" s="231">
        <f>'[3]ПРАЙС ТКАНИ'!G13</f>
        <v>36.024000000000001</v>
      </c>
      <c r="Q24" s="232"/>
      <c r="R24" s="233">
        <f t="shared" si="0"/>
        <v>64.84320000000001</v>
      </c>
      <c r="S24" s="232"/>
      <c r="U24" s="55" t="s">
        <v>48</v>
      </c>
      <c r="V24" s="55"/>
      <c r="W24" s="56"/>
      <c r="X24" s="57">
        <f>IF(X13&lt;1.5,2,IF(X13&lt;2.5,3,IF(X13&lt;3.5,4,IF(X13&lt;4.5,5,))))</f>
        <v>4</v>
      </c>
      <c r="Y24" s="255" t="s">
        <v>42</v>
      </c>
      <c r="Z24" s="256"/>
      <c r="AA24" s="39"/>
    </row>
    <row r="25" spans="2:32" ht="36.6" customHeight="1" thickBot="1"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7"/>
      <c r="P25" s="231"/>
      <c r="Q25" s="232"/>
      <c r="R25" s="233"/>
      <c r="S25" s="232"/>
      <c r="U25" s="58" t="s">
        <v>82</v>
      </c>
      <c r="V25" s="39"/>
      <c r="W25" s="39"/>
      <c r="X25" s="39"/>
      <c r="Y25" s="39"/>
      <c r="Z25" s="39"/>
      <c r="AA25" s="39"/>
    </row>
    <row r="26" spans="2:32" ht="25.15" customHeight="1">
      <c r="B26" s="225">
        <v>7</v>
      </c>
      <c r="C26" s="226" t="s">
        <v>157</v>
      </c>
      <c r="D26" s="226"/>
      <c r="E26" s="226"/>
      <c r="F26" s="226" t="s">
        <v>158</v>
      </c>
      <c r="G26" s="226"/>
      <c r="H26" s="226"/>
      <c r="I26" s="226"/>
      <c r="J26" s="226" t="s">
        <v>159</v>
      </c>
      <c r="K26" s="226"/>
      <c r="L26" s="226" t="s">
        <v>160</v>
      </c>
      <c r="M26" s="226"/>
      <c r="N26" s="226"/>
      <c r="O26" s="227"/>
      <c r="P26" s="231">
        <f>'[3]ПРАЙС ТКАНИ'!G14</f>
        <v>39.624000000000002</v>
      </c>
      <c r="Q26" s="232"/>
      <c r="R26" s="233">
        <f t="shared" si="0"/>
        <v>71.3232</v>
      </c>
      <c r="S26" s="232"/>
      <c r="U26" s="257" t="s">
        <v>232</v>
      </c>
      <c r="V26" s="258"/>
      <c r="W26" s="259"/>
      <c r="X26" s="257" t="s">
        <v>3</v>
      </c>
      <c r="Y26" s="259"/>
      <c r="Z26" s="257" t="s">
        <v>4</v>
      </c>
      <c r="AA26" s="259"/>
      <c r="AE26" s="134"/>
    </row>
    <row r="27" spans="2:32" ht="25.15" customHeight="1" thickBot="1"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  <c r="P27" s="231"/>
      <c r="Q27" s="232"/>
      <c r="R27" s="233"/>
      <c r="S27" s="232"/>
      <c r="U27" s="260"/>
      <c r="V27" s="261"/>
      <c r="W27" s="262"/>
      <c r="X27" s="95" t="s">
        <v>86</v>
      </c>
      <c r="Y27" s="96" t="s">
        <v>87</v>
      </c>
      <c r="Z27" s="95" t="s">
        <v>86</v>
      </c>
      <c r="AA27" s="96" t="s">
        <v>87</v>
      </c>
    </row>
    <row r="28" spans="2:32" ht="43.15" customHeight="1"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  <c r="P28" s="231"/>
      <c r="Q28" s="232"/>
      <c r="R28" s="233"/>
      <c r="S28" s="232"/>
      <c r="U28" s="398" t="s">
        <v>233</v>
      </c>
      <c r="V28" s="399"/>
      <c r="W28" s="400"/>
      <c r="X28" s="141">
        <f>X29+X30</f>
        <v>110.7</v>
      </c>
      <c r="Y28" s="142">
        <f>Y29+Y30</f>
        <v>7527.5999999999995</v>
      </c>
      <c r="Z28" s="141">
        <f>Z29+Z30</f>
        <v>199.26000000000002</v>
      </c>
      <c r="AA28" s="142">
        <f>AA29+AA30</f>
        <v>13549.680000000002</v>
      </c>
    </row>
    <row r="29" spans="2:32" ht="34.9" customHeight="1">
      <c r="B29" s="225">
        <v>8</v>
      </c>
      <c r="C29" s="226" t="s">
        <v>164</v>
      </c>
      <c r="D29" s="226"/>
      <c r="E29" s="226"/>
      <c r="F29" s="226" t="s">
        <v>196</v>
      </c>
      <c r="G29" s="226"/>
      <c r="H29" s="226"/>
      <c r="I29" s="226"/>
      <c r="J29" s="226" t="s">
        <v>165</v>
      </c>
      <c r="K29" s="226"/>
      <c r="L29" s="226" t="s">
        <v>166</v>
      </c>
      <c r="M29" s="226"/>
      <c r="N29" s="226"/>
      <c r="O29" s="227"/>
      <c r="P29" s="231">
        <f>'[3]ПРАЙС ТКАНИ'!G15</f>
        <v>43.704000000000001</v>
      </c>
      <c r="Q29" s="232"/>
      <c r="R29" s="233">
        <f>P29*$K$9</f>
        <v>78.667200000000008</v>
      </c>
      <c r="S29" s="232"/>
      <c r="U29" s="401" t="s">
        <v>234</v>
      </c>
      <c r="V29" s="402"/>
      <c r="W29" s="403"/>
      <c r="X29" s="135">
        <f>IF(X13&lt;=1.4,C48,IF(X13&lt;=2.25,F48,IF(X13&lt;=2.8,I48,ошибка)))*X23</f>
        <v>29.58</v>
      </c>
      <c r="Y29" s="136">
        <f>X29*$C$9</f>
        <v>2011.4399999999998</v>
      </c>
      <c r="Z29" s="135">
        <f>X29*$K$9</f>
        <v>53.244</v>
      </c>
      <c r="AA29" s="136">
        <f>Z29*$C$9</f>
        <v>3620.5920000000001</v>
      </c>
      <c r="AF29" s="68"/>
    </row>
    <row r="30" spans="2:32" ht="31.9" customHeight="1" thickBot="1"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231"/>
      <c r="Q30" s="232"/>
      <c r="R30" s="233"/>
      <c r="S30" s="232"/>
      <c r="U30" s="404" t="s">
        <v>235</v>
      </c>
      <c r="V30" s="405"/>
      <c r="W30" s="406"/>
      <c r="X30" s="143">
        <f>IF($X$18=1,P13*X14*AC30,IF($X$18=2,P15*X14*AC30,IF($X$18=3,P17*X14*AC30,IF($X$18=4,P19*X14*AC30,IF($X$18=5,P22*X14*AC30,IF($X$18=6,$P$24*X14*AC30,IF($X$18=7,X14*AC30*P26,IF($X$18=8,X14*AC30*P29,IF(X18=9,P31*X14*AC30,IF(X18=10,X14*AC30*P33,IF(X18=11,X14*AC30*P35,IF(X18=12,X14*AC30*P37,IF(X18=13,X14*AC30*P39,ошибка)))))))))))))*X23</f>
        <v>81.12</v>
      </c>
      <c r="Y30" s="144">
        <f t="shared" ref="Y30:Y33" si="1">X30*$C$9</f>
        <v>5516.16</v>
      </c>
      <c r="Z30" s="143">
        <f t="shared" ref="Z30:Z33" si="2">X30*$K$9</f>
        <v>146.01600000000002</v>
      </c>
      <c r="AA30" s="144">
        <f t="shared" ref="AA30:AA34" si="3">Z30*$C$9</f>
        <v>9929.0880000000016</v>
      </c>
      <c r="AC30" s="102">
        <f>IF((1.8/X15)&lt;X16,ROUNDUP(X16/(1.8/X15),0),1)</f>
        <v>2</v>
      </c>
      <c r="AD30" s="79" t="s">
        <v>236</v>
      </c>
      <c r="AE30" s="79"/>
      <c r="AF30" s="68"/>
    </row>
    <row r="31" spans="2:32" ht="33" customHeight="1">
      <c r="B31" s="225">
        <v>9</v>
      </c>
      <c r="C31" s="226" t="s">
        <v>167</v>
      </c>
      <c r="D31" s="226"/>
      <c r="E31" s="226"/>
      <c r="F31" s="226" t="s">
        <v>197</v>
      </c>
      <c r="G31" s="226"/>
      <c r="H31" s="226"/>
      <c r="I31" s="226"/>
      <c r="J31" s="226" t="s">
        <v>168</v>
      </c>
      <c r="K31" s="226"/>
      <c r="L31" s="226" t="s">
        <v>169</v>
      </c>
      <c r="M31" s="226"/>
      <c r="N31" s="226"/>
      <c r="O31" s="227"/>
      <c r="P31" s="278">
        <f>'[3]ПРАЙС ТКАНИ'!G16</f>
        <v>50.111999999999995</v>
      </c>
      <c r="Q31" s="279"/>
      <c r="R31" s="233">
        <f t="shared" ref="R31" si="4">P31*$K$9</f>
        <v>90.201599999999999</v>
      </c>
      <c r="S31" s="232"/>
      <c r="U31" s="407" t="s">
        <v>237</v>
      </c>
      <c r="V31" s="408"/>
      <c r="W31" s="409"/>
      <c r="X31" s="141">
        <f>X32+X33+X34</f>
        <v>201.702</v>
      </c>
      <c r="Y31" s="142">
        <f t="shared" si="1"/>
        <v>13715.736000000001</v>
      </c>
      <c r="Z31" s="141">
        <f t="shared" si="2"/>
        <v>363.06360000000001</v>
      </c>
      <c r="AA31" s="142">
        <f t="shared" si="3"/>
        <v>24688.324800000002</v>
      </c>
      <c r="AC31" s="140">
        <v>83</v>
      </c>
      <c r="AD31" s="140">
        <v>84</v>
      </c>
      <c r="AE31" s="140">
        <v>85</v>
      </c>
      <c r="AF31" s="68"/>
    </row>
    <row r="32" spans="2:32" ht="23.45" customHeight="1"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7"/>
      <c r="P32" s="280"/>
      <c r="Q32" s="281"/>
      <c r="R32" s="233"/>
      <c r="S32" s="232"/>
      <c r="U32" s="401" t="s">
        <v>234</v>
      </c>
      <c r="V32" s="402"/>
      <c r="W32" s="403"/>
      <c r="X32" s="36">
        <f>AC32+AD32+AE32</f>
        <v>120.58199999999999</v>
      </c>
      <c r="Y32" s="136">
        <f t="shared" si="1"/>
        <v>8199.5759999999991</v>
      </c>
      <c r="Z32" s="135">
        <f t="shared" si="2"/>
        <v>217.04759999999999</v>
      </c>
      <c r="AA32" s="136">
        <f t="shared" si="3"/>
        <v>14759.236799999999</v>
      </c>
      <c r="AC32" s="79">
        <f>IF(X19=1,(IF(X13&lt;=1.5,C74,IF(X13&lt;=1.6,D74,IF(X13&lt;=1.7,E74,IF(X13&lt;=1.8,F74,IF(X13&lt;=1.9,G74,IF(X13&lt;=2,H74,IF(X13&lt;=2.1,I74,IF(X13&lt;=2.2,J74,IF(X13&lt;=2.3,K74,IF(X13&lt;=2.4,L74,IF(X13&lt;=2.5,M74,IF(X13&lt;=2.6,N74,IF(X13&lt;=2.7,O74,IF(X13&lt;=2.8,P74,IF(X13&lt;=2.9,Q74,IF(X13&lt;=3,R74,0))))))))))))))))),0)*X23</f>
        <v>0</v>
      </c>
      <c r="AD32" s="79">
        <f>IF(X20=1,(IF(X13&lt;=2,C79,IF(X13&lt;=2.1,D79,IF(X13&lt;=2.2,E79,IF(X13&lt;=2.3,F79,IF(X13&lt;=2.4,G79,IF(X13&lt;=2.5,H79,IF(X13&lt;=2.6,I79,IF(X13&lt;=2.7,J79,IF(X13&lt;=2.8,K79,IF(X13&lt;=2.9,L79,IF(X13&lt;=3,M79,IF(X13&lt;=3.1,N79,IF(X13&lt;=3.2,O79,IF(X13&lt;=3.3,P79,IF(X13&lt;=3.4,Q79,IF(X13&lt;=3.5,R79,0))))))))))))))))),0)*X23</f>
        <v>0</v>
      </c>
      <c r="AE32" s="79">
        <f>IF(X21=1,(IF(X13&lt;=2,C84,IF(X13&lt;=2.1,D84,IF(X13&lt;=2.2,E84,IF(X13&lt;=2.3,F84,IF(X13&lt;=2.4,G84,IF(X13&lt;=2.5,H84,IF(X13&lt;=2.6,I84,IF(X13&lt;=2.7,J84,IF(X13&lt;=2.8,K84,IF(X13&lt;=2.9,L84,IF(X13&lt;=3,M84,IF(X13&lt;=3.1,N84,IF(X13&lt;=3.2,O84,IF(X13&lt;=3.3,P84,IF(X13&lt;=3.4,Q84,IF(X13&lt;=3.5,R84,0))))))))))))))))),0)*X23</f>
        <v>120.58199999999999</v>
      </c>
    </row>
    <row r="33" spans="2:31" ht="30.6" customHeight="1">
      <c r="B33" s="225">
        <v>10</v>
      </c>
      <c r="C33" s="226" t="s">
        <v>170</v>
      </c>
      <c r="D33" s="226"/>
      <c r="E33" s="226"/>
      <c r="F33" s="226" t="s">
        <v>198</v>
      </c>
      <c r="G33" s="226"/>
      <c r="H33" s="226"/>
      <c r="I33" s="226"/>
      <c r="J33" s="226" t="s">
        <v>171</v>
      </c>
      <c r="K33" s="226"/>
      <c r="L33" s="226" t="s">
        <v>172</v>
      </c>
      <c r="M33" s="226"/>
      <c r="N33" s="226"/>
      <c r="O33" s="227"/>
      <c r="P33" s="278">
        <f>'[3]ПРАЙС ТКАНИ'!G17</f>
        <v>57.635999999999996</v>
      </c>
      <c r="Q33" s="279"/>
      <c r="R33" s="233">
        <f t="shared" ref="R33" si="5">P33*$K$9</f>
        <v>103.7448</v>
      </c>
      <c r="S33" s="232"/>
      <c r="U33" s="401" t="s">
        <v>235</v>
      </c>
      <c r="V33" s="402"/>
      <c r="W33" s="403"/>
      <c r="X33" s="135">
        <f>X30</f>
        <v>81.12</v>
      </c>
      <c r="Y33" s="136">
        <f t="shared" si="1"/>
        <v>5516.16</v>
      </c>
      <c r="Z33" s="135">
        <f t="shared" si="2"/>
        <v>146.01600000000002</v>
      </c>
      <c r="AA33" s="136">
        <f t="shared" si="3"/>
        <v>9929.0880000000016</v>
      </c>
      <c r="AC33" s="79"/>
      <c r="AD33" s="79"/>
      <c r="AE33" s="79"/>
    </row>
    <row r="34" spans="2:31" ht="23.45" customHeight="1" thickBot="1">
      <c r="B34" s="225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7"/>
      <c r="P34" s="280"/>
      <c r="Q34" s="281"/>
      <c r="R34" s="233"/>
      <c r="S34" s="232"/>
      <c r="U34" s="404" t="s">
        <v>238</v>
      </c>
      <c r="V34" s="405"/>
      <c r="W34" s="406"/>
      <c r="X34" s="143">
        <f>IF(X22=1,1,0)*IF(X13&lt;=1.4,C89,IF(X13&lt;=1.6,D89,IF(X13&lt;=1.7,E89,IF(X13&lt;=1.8,F89,IF(X13&lt;=1.9,G89,IF(X13&lt;=2,H89,IF(X13&lt;=2.1,I89,IF(X13&lt;=2.2,J89,IF(X13&lt;=2.3,K89,IF(X13&lt;=2.4,L89,IF(X13&lt;=2.5,M89,IF(X13&lt;=2.6,N89,IF(X13&lt;=2.7,O89,IF(X13&lt;=2.8,P89,IF(X13&lt;=2.9,Q89,IF(X13&lt;=3,R89,IF(X13&lt;=3.1,S89,IF(X13&lt;=3.2,T89,IF(X13&lt;=3.3,U89,IF(X13&lt;=3.4,V89,IF(X13&lt;=3.5,W89,0)))))))))))))))))))))</f>
        <v>0</v>
      </c>
      <c r="Y34" s="144">
        <f>X34*$C$9</f>
        <v>0</v>
      </c>
      <c r="Z34" s="143">
        <f>X34*$K$9</f>
        <v>0</v>
      </c>
      <c r="AA34" s="144">
        <f t="shared" si="3"/>
        <v>0</v>
      </c>
    </row>
    <row r="35" spans="2:31" ht="23.45" customHeight="1">
      <c r="B35" s="225">
        <v>11</v>
      </c>
      <c r="C35" s="226" t="s">
        <v>173</v>
      </c>
      <c r="D35" s="226"/>
      <c r="E35" s="226"/>
      <c r="F35" s="226" t="s">
        <v>174</v>
      </c>
      <c r="G35" s="226"/>
      <c r="H35" s="226"/>
      <c r="I35" s="226"/>
      <c r="J35" s="226" t="s">
        <v>175</v>
      </c>
      <c r="K35" s="226"/>
      <c r="L35" s="226" t="s">
        <v>176</v>
      </c>
      <c r="M35" s="226"/>
      <c r="N35" s="226"/>
      <c r="O35" s="227"/>
      <c r="P35" s="278">
        <f>'[3]ПРАЙС ТКАНИ'!G18</f>
        <v>66.72</v>
      </c>
      <c r="Q35" s="279"/>
      <c r="R35" s="233">
        <f t="shared" ref="R35" si="6">P35*$K$9</f>
        <v>120.096</v>
      </c>
      <c r="S35" s="232"/>
    </row>
    <row r="36" spans="2:31" ht="23.45" customHeight="1">
      <c r="B36" s="225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/>
      <c r="P36" s="280"/>
      <c r="Q36" s="281"/>
      <c r="R36" s="233"/>
      <c r="S36" s="232"/>
    </row>
    <row r="37" spans="2:31" ht="23.45" customHeight="1">
      <c r="B37" s="225">
        <v>12</v>
      </c>
      <c r="C37" s="226" t="s">
        <v>177</v>
      </c>
      <c r="D37" s="226"/>
      <c r="E37" s="226"/>
      <c r="F37" s="226" t="s">
        <v>178</v>
      </c>
      <c r="G37" s="226"/>
      <c r="H37" s="226"/>
      <c r="I37" s="226"/>
      <c r="J37" s="226" t="s">
        <v>179</v>
      </c>
      <c r="K37" s="226"/>
      <c r="L37" s="226" t="s">
        <v>180</v>
      </c>
      <c r="M37" s="226"/>
      <c r="N37" s="226"/>
      <c r="O37" s="227"/>
      <c r="P37" s="278">
        <f>'[3]ПРАЙС ТКАНИ'!G19</f>
        <v>75.635999999999996</v>
      </c>
      <c r="Q37" s="279"/>
      <c r="R37" s="233">
        <f t="shared" ref="R37" si="7">P37*$K$9</f>
        <v>136.1448</v>
      </c>
      <c r="S37" s="232"/>
    </row>
    <row r="38" spans="2:31" ht="23.45" customHeight="1"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7"/>
      <c r="P38" s="280"/>
      <c r="Q38" s="281"/>
      <c r="R38" s="233"/>
      <c r="S38" s="232"/>
    </row>
    <row r="39" spans="2:31" ht="23.45" customHeight="1">
      <c r="B39" s="225">
        <v>13</v>
      </c>
      <c r="C39" s="226" t="s">
        <v>181</v>
      </c>
      <c r="D39" s="226"/>
      <c r="E39" s="226"/>
      <c r="F39" s="226" t="s">
        <v>199</v>
      </c>
      <c r="G39" s="226"/>
      <c r="H39" s="226"/>
      <c r="I39" s="226"/>
      <c r="J39" s="226" t="s">
        <v>200</v>
      </c>
      <c r="K39" s="226"/>
      <c r="L39" s="226" t="s">
        <v>182</v>
      </c>
      <c r="M39" s="226"/>
      <c r="N39" s="226"/>
      <c r="O39" s="227"/>
      <c r="P39" s="278">
        <f>'[3]ПРАЙС ТКАНИ'!G20</f>
        <v>81.036000000000001</v>
      </c>
      <c r="Q39" s="279"/>
      <c r="R39" s="233">
        <f t="shared" ref="R39" si="8">P39*$K$9</f>
        <v>145.8648</v>
      </c>
      <c r="S39" s="232"/>
    </row>
    <row r="40" spans="2:31" ht="23.45" customHeight="1" thickBot="1">
      <c r="B40" s="287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9"/>
      <c r="P40" s="290"/>
      <c r="Q40" s="291"/>
      <c r="R40" s="284"/>
      <c r="S40" s="285"/>
    </row>
    <row r="42" spans="2:31" ht="15">
      <c r="B42" s="45" t="s">
        <v>239</v>
      </c>
    </row>
    <row r="43" spans="2:31" ht="10.9" customHeight="1">
      <c r="U43" s="97"/>
      <c r="V43" s="97"/>
      <c r="W43" s="97"/>
      <c r="X43" s="97"/>
      <c r="Y43" s="98"/>
      <c r="Z43" s="97"/>
      <c r="AA43" s="98"/>
    </row>
    <row r="44" spans="2:31">
      <c r="B44" s="44" t="s">
        <v>256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U44" s="97"/>
      <c r="V44" s="97"/>
      <c r="W44" s="97"/>
      <c r="X44" s="97"/>
      <c r="Y44" s="98"/>
      <c r="Z44" s="97"/>
      <c r="AA44" s="98"/>
    </row>
    <row r="45" spans="2:31">
      <c r="B45" s="62" t="s">
        <v>2</v>
      </c>
      <c r="C45" s="419" t="s">
        <v>240</v>
      </c>
      <c r="D45" s="420"/>
      <c r="E45" s="421"/>
      <c r="F45" s="419" t="s">
        <v>241</v>
      </c>
      <c r="G45" s="420"/>
      <c r="H45" s="421"/>
      <c r="I45" s="419" t="s">
        <v>242</v>
      </c>
      <c r="J45" s="420"/>
      <c r="K45" s="421"/>
      <c r="M45" s="36" t="s">
        <v>252</v>
      </c>
      <c r="U45" s="97"/>
      <c r="V45" s="97"/>
      <c r="W45" s="97"/>
      <c r="X45" s="97"/>
      <c r="Y45" s="98"/>
      <c r="Z45" s="97"/>
      <c r="AA45" s="98"/>
    </row>
    <row r="46" spans="2:31" ht="18" customHeight="1">
      <c r="B46" s="62" t="s">
        <v>243</v>
      </c>
      <c r="C46" s="410" t="s">
        <v>244</v>
      </c>
      <c r="D46" s="411"/>
      <c r="E46" s="412"/>
      <c r="F46" s="410" t="s">
        <v>245</v>
      </c>
      <c r="G46" s="411"/>
      <c r="H46" s="412"/>
      <c r="I46" s="410" t="s">
        <v>246</v>
      </c>
      <c r="J46" s="411"/>
      <c r="K46" s="412"/>
      <c r="N46" s="43" t="s">
        <v>253</v>
      </c>
      <c r="R46" s="43" t="s">
        <v>254</v>
      </c>
      <c r="U46" s="97"/>
      <c r="V46" s="145" t="s">
        <v>255</v>
      </c>
      <c r="W46" s="97"/>
      <c r="X46" s="97"/>
      <c r="Y46" s="98"/>
      <c r="Z46" s="97"/>
      <c r="AA46" s="98"/>
    </row>
    <row r="47" spans="2:31" ht="24" customHeight="1">
      <c r="B47" s="137" t="s">
        <v>247</v>
      </c>
      <c r="C47" s="410" t="s">
        <v>248</v>
      </c>
      <c r="D47" s="411"/>
      <c r="E47" s="412"/>
      <c r="F47" s="410" t="s">
        <v>249</v>
      </c>
      <c r="G47" s="411"/>
      <c r="H47" s="412"/>
      <c r="I47" s="410" t="s">
        <v>249</v>
      </c>
      <c r="J47" s="411"/>
      <c r="K47" s="412"/>
      <c r="M47" s="146"/>
      <c r="N47" s="147"/>
      <c r="O47" s="148"/>
      <c r="Q47" s="146"/>
      <c r="R47" s="147"/>
      <c r="S47" s="148"/>
      <c r="U47" s="146"/>
      <c r="V47" s="147"/>
      <c r="W47" s="148"/>
      <c r="X47" s="39"/>
      <c r="Y47" s="39"/>
      <c r="Z47" s="153" t="s">
        <v>261</v>
      </c>
      <c r="AA47" s="39"/>
    </row>
    <row r="48" spans="2:31">
      <c r="B48" s="64" t="s">
        <v>3</v>
      </c>
      <c r="C48" s="416">
        <v>38.79</v>
      </c>
      <c r="D48" s="417"/>
      <c r="E48" s="418"/>
      <c r="F48" s="416">
        <v>47.286000000000001</v>
      </c>
      <c r="G48" s="417"/>
      <c r="H48" s="418"/>
      <c r="I48" s="416">
        <v>29.58</v>
      </c>
      <c r="J48" s="417"/>
      <c r="K48" s="418"/>
      <c r="M48" s="149"/>
      <c r="N48" s="150"/>
      <c r="O48" s="151"/>
      <c r="Q48" s="149"/>
      <c r="R48" s="150"/>
      <c r="S48" s="151"/>
      <c r="U48" s="149"/>
      <c r="V48" s="150"/>
      <c r="W48" s="151"/>
    </row>
    <row r="49" spans="1:25">
      <c r="B49" s="64" t="s">
        <v>4</v>
      </c>
      <c r="C49" s="416">
        <f>C48*$K$9</f>
        <v>69.822000000000003</v>
      </c>
      <c r="D49" s="417"/>
      <c r="E49" s="418"/>
      <c r="F49" s="416">
        <f t="shared" ref="F49" si="9">F48*$K$9</f>
        <v>85.114800000000002</v>
      </c>
      <c r="G49" s="417"/>
      <c r="H49" s="418"/>
      <c r="I49" s="416">
        <f t="shared" ref="I49" si="10">I48*$K$9</f>
        <v>53.244</v>
      </c>
      <c r="J49" s="417"/>
      <c r="K49" s="418"/>
    </row>
    <row r="50" spans="1: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idden="1"/>
    <row r="52" spans="1:25" hidden="1">
      <c r="A52"/>
      <c r="B52" s="44" t="s">
        <v>186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25" hidden="1">
      <c r="B53" s="62" t="s">
        <v>2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25" hidden="1">
      <c r="A54" s="66" t="s">
        <v>3</v>
      </c>
      <c r="B54" s="282">
        <v>1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25" hidden="1">
      <c r="A55" s="66" t="s">
        <v>4</v>
      </c>
      <c r="B55" s="283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1:25" hidden="1">
      <c r="B56" s="282">
        <v>1.1000000000000001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25" hidden="1">
      <c r="B57" s="283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1:25" hidden="1">
      <c r="B58" s="282">
        <v>1.2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25" hidden="1">
      <c r="B59" s="283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U59" s="43"/>
    </row>
    <row r="60" spans="1:25" hidden="1">
      <c r="B60" s="282">
        <v>1.3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U60" s="99"/>
      <c r="V60" s="99"/>
      <c r="W60" s="99"/>
      <c r="X60" s="99"/>
      <c r="Y60" s="99"/>
    </row>
    <row r="61" spans="1:25" hidden="1">
      <c r="B61" s="283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U61" s="99"/>
      <c r="V61" s="99"/>
      <c r="W61" s="99"/>
      <c r="X61" s="99"/>
      <c r="Y61" s="99"/>
    </row>
    <row r="62" spans="1:25" hidden="1">
      <c r="B62" s="282">
        <v>1.4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U62" s="99"/>
      <c r="V62" s="99"/>
      <c r="W62" s="99"/>
      <c r="X62" s="99"/>
      <c r="Y62" s="99"/>
    </row>
    <row r="63" spans="1:25" hidden="1">
      <c r="B63" s="283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25" hidden="1">
      <c r="B64" s="282">
        <v>1.5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V64" s="68"/>
    </row>
    <row r="65" spans="2:23" hidden="1">
      <c r="B65" s="283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23" hidden="1">
      <c r="B66" s="282">
        <v>1.6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V66" s="68"/>
    </row>
    <row r="67" spans="2:23" hidden="1">
      <c r="B67" s="283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23" hidden="1">
      <c r="B68" s="282">
        <v>1.7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V68" s="68"/>
    </row>
    <row r="69" spans="2:23" hidden="1">
      <c r="B69" s="283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23" ht="13.15" hidden="1" customHeight="1">
      <c r="B70" s="138">
        <v>1.8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V70" s="68"/>
    </row>
    <row r="72" spans="2:23">
      <c r="B72" s="44" t="s">
        <v>257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2:23">
      <c r="B73" s="62" t="s">
        <v>2</v>
      </c>
      <c r="C73" s="63">
        <v>1.5</v>
      </c>
      <c r="D73" s="63">
        <v>1.6</v>
      </c>
      <c r="E73" s="63">
        <v>1.7</v>
      </c>
      <c r="F73" s="63">
        <v>1.8</v>
      </c>
      <c r="G73" s="63">
        <v>1.9</v>
      </c>
      <c r="H73" s="63">
        <v>2</v>
      </c>
      <c r="I73" s="63">
        <v>2.1</v>
      </c>
      <c r="J73" s="63">
        <v>2.2000000000000002</v>
      </c>
      <c r="K73" s="63">
        <v>2.2999999999999998</v>
      </c>
      <c r="L73" s="63">
        <v>2.4</v>
      </c>
      <c r="M73" s="63">
        <v>2.5</v>
      </c>
      <c r="N73" s="63">
        <v>2.6</v>
      </c>
      <c r="O73" s="63">
        <v>2.7</v>
      </c>
      <c r="P73" s="63">
        <v>2.8</v>
      </c>
      <c r="Q73" s="63">
        <v>2.9</v>
      </c>
      <c r="R73" s="63">
        <v>3</v>
      </c>
      <c r="V73" s="154" t="s">
        <v>260</v>
      </c>
    </row>
    <row r="74" spans="2:23">
      <c r="B74" s="64" t="s">
        <v>3</v>
      </c>
      <c r="C74" s="65">
        <v>70.182000000000002</v>
      </c>
      <c r="D74" s="65">
        <v>72.647999999999996</v>
      </c>
      <c r="E74" s="65">
        <v>75.11399999999999</v>
      </c>
      <c r="F74" s="65">
        <v>77.58</v>
      </c>
      <c r="G74" s="65">
        <v>80.028000000000006</v>
      </c>
      <c r="H74" s="65">
        <v>84.582000000000008</v>
      </c>
      <c r="I74" s="65">
        <v>87.048000000000002</v>
      </c>
      <c r="J74" s="65">
        <v>89.513999999999996</v>
      </c>
      <c r="K74" s="65">
        <v>91.962000000000003</v>
      </c>
      <c r="L74" s="65">
        <v>94.427999999999997</v>
      </c>
      <c r="M74" s="65">
        <v>96.894000000000005</v>
      </c>
      <c r="N74" s="65">
        <v>99.360000000000014</v>
      </c>
      <c r="O74" s="65">
        <v>103.896</v>
      </c>
      <c r="P74" s="65">
        <v>106.36200000000001</v>
      </c>
      <c r="Q74" s="65">
        <v>108.828</v>
      </c>
      <c r="R74" s="65">
        <v>111.294</v>
      </c>
    </row>
    <row r="75" spans="2:23">
      <c r="B75" s="64" t="s">
        <v>4</v>
      </c>
      <c r="C75" s="65">
        <f>C74*$K$9</f>
        <v>126.3276</v>
      </c>
      <c r="D75" s="65">
        <f t="shared" ref="D75:R75" si="11">D74*$K$9</f>
        <v>130.7664</v>
      </c>
      <c r="E75" s="65">
        <f t="shared" si="11"/>
        <v>135.20519999999999</v>
      </c>
      <c r="F75" s="65">
        <f t="shared" si="11"/>
        <v>139.64400000000001</v>
      </c>
      <c r="G75" s="65">
        <f t="shared" si="11"/>
        <v>144.05040000000002</v>
      </c>
      <c r="H75" s="65">
        <f t="shared" si="11"/>
        <v>152.24760000000001</v>
      </c>
      <c r="I75" s="65">
        <f t="shared" si="11"/>
        <v>156.68640000000002</v>
      </c>
      <c r="J75" s="65">
        <f t="shared" si="11"/>
        <v>161.12520000000001</v>
      </c>
      <c r="K75" s="65">
        <f t="shared" si="11"/>
        <v>165.5316</v>
      </c>
      <c r="L75" s="65">
        <f t="shared" si="11"/>
        <v>169.97040000000001</v>
      </c>
      <c r="M75" s="65">
        <f t="shared" si="11"/>
        <v>174.40920000000003</v>
      </c>
      <c r="N75" s="65">
        <f t="shared" si="11"/>
        <v>178.84800000000004</v>
      </c>
      <c r="O75" s="65">
        <f t="shared" si="11"/>
        <v>187.0128</v>
      </c>
      <c r="P75" s="65">
        <f t="shared" si="11"/>
        <v>191.45160000000001</v>
      </c>
      <c r="Q75" s="65">
        <f t="shared" si="11"/>
        <v>195.8904</v>
      </c>
      <c r="R75" s="65">
        <f t="shared" si="11"/>
        <v>200.32919999999999</v>
      </c>
      <c r="W75" s="152"/>
    </row>
    <row r="77" spans="2:23">
      <c r="B77" s="44" t="s">
        <v>258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2:23">
      <c r="B78" s="62" t="s">
        <v>2</v>
      </c>
      <c r="C78" s="63">
        <v>2</v>
      </c>
      <c r="D78" s="63">
        <v>2.1</v>
      </c>
      <c r="E78" s="63">
        <v>2.2000000000000002</v>
      </c>
      <c r="F78" s="63">
        <v>2.2999999999999998</v>
      </c>
      <c r="G78" s="63">
        <v>2.4</v>
      </c>
      <c r="H78" s="63">
        <v>2.5</v>
      </c>
      <c r="I78" s="63">
        <v>2.6</v>
      </c>
      <c r="J78" s="63">
        <v>2.7</v>
      </c>
      <c r="K78" s="63">
        <v>2.8</v>
      </c>
      <c r="L78" s="63">
        <v>2.9</v>
      </c>
      <c r="M78" s="63">
        <v>3</v>
      </c>
      <c r="N78" s="63">
        <v>3.1</v>
      </c>
      <c r="O78" s="63">
        <v>3.2</v>
      </c>
      <c r="P78" s="63">
        <v>3.3</v>
      </c>
      <c r="Q78" s="63">
        <v>3.4</v>
      </c>
      <c r="R78" s="63">
        <v>3.5</v>
      </c>
      <c r="W78" s="68"/>
    </row>
    <row r="79" spans="2:23">
      <c r="B79" s="64" t="s">
        <v>3</v>
      </c>
      <c r="C79" s="65">
        <v>89.01</v>
      </c>
      <c r="D79" s="65">
        <v>91.691999999999993</v>
      </c>
      <c r="E79" s="65">
        <v>94.373999999999995</v>
      </c>
      <c r="F79" s="65">
        <v>97.056000000000012</v>
      </c>
      <c r="G79" s="65">
        <v>99.738</v>
      </c>
      <c r="H79" s="65">
        <v>102.42</v>
      </c>
      <c r="I79" s="65">
        <v>105.12</v>
      </c>
      <c r="J79" s="65">
        <v>109.872</v>
      </c>
      <c r="K79" s="65">
        <v>112.554</v>
      </c>
      <c r="L79" s="65">
        <v>115.254</v>
      </c>
      <c r="M79" s="65">
        <v>117.93599999999999</v>
      </c>
      <c r="N79" s="65">
        <v>120.61800000000001</v>
      </c>
      <c r="O79" s="65">
        <v>123.3</v>
      </c>
      <c r="P79" s="65">
        <v>128.07000000000002</v>
      </c>
      <c r="Q79" s="65">
        <v>130.75200000000001</v>
      </c>
      <c r="R79" s="65">
        <v>133.434</v>
      </c>
      <c r="W79" s="152"/>
    </row>
    <row r="80" spans="2:23">
      <c r="B80" s="64" t="s">
        <v>4</v>
      </c>
      <c r="C80" s="65">
        <f>C79*$K$9</f>
        <v>160.21800000000002</v>
      </c>
      <c r="D80" s="65">
        <f t="shared" ref="D80:R80" si="12">D79*$K$9</f>
        <v>165.04559999999998</v>
      </c>
      <c r="E80" s="65">
        <f t="shared" si="12"/>
        <v>169.8732</v>
      </c>
      <c r="F80" s="65">
        <f t="shared" si="12"/>
        <v>174.70080000000002</v>
      </c>
      <c r="G80" s="65">
        <f t="shared" si="12"/>
        <v>179.5284</v>
      </c>
      <c r="H80" s="65">
        <f t="shared" si="12"/>
        <v>184.35599999999999</v>
      </c>
      <c r="I80" s="65">
        <f t="shared" si="12"/>
        <v>189.21600000000001</v>
      </c>
      <c r="J80" s="65">
        <f t="shared" si="12"/>
        <v>197.7696</v>
      </c>
      <c r="K80" s="65">
        <f t="shared" si="12"/>
        <v>202.59720000000002</v>
      </c>
      <c r="L80" s="65">
        <f t="shared" si="12"/>
        <v>207.4572</v>
      </c>
      <c r="M80" s="65">
        <f t="shared" si="12"/>
        <v>212.28479999999999</v>
      </c>
      <c r="N80" s="65">
        <f t="shared" si="12"/>
        <v>217.11240000000001</v>
      </c>
      <c r="O80" s="65">
        <f t="shared" si="12"/>
        <v>221.94</v>
      </c>
      <c r="P80" s="65">
        <f t="shared" si="12"/>
        <v>230.52600000000004</v>
      </c>
      <c r="Q80" s="65">
        <f t="shared" si="12"/>
        <v>235.35360000000003</v>
      </c>
      <c r="R80" s="65">
        <f t="shared" si="12"/>
        <v>240.18119999999999</v>
      </c>
    </row>
    <row r="82" spans="2:23">
      <c r="B82" s="44" t="s">
        <v>259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2:23">
      <c r="B83" s="62" t="s">
        <v>2</v>
      </c>
      <c r="C83" s="63">
        <v>2</v>
      </c>
      <c r="D83" s="63">
        <v>2.1</v>
      </c>
      <c r="E83" s="63">
        <v>2.2000000000000002</v>
      </c>
      <c r="F83" s="63">
        <v>2.2999999999999998</v>
      </c>
      <c r="G83" s="63">
        <v>2.4</v>
      </c>
      <c r="H83" s="63">
        <v>2.5</v>
      </c>
      <c r="I83" s="63">
        <v>2.6</v>
      </c>
      <c r="J83" s="63">
        <v>2.7</v>
      </c>
      <c r="K83" s="63">
        <v>2.8</v>
      </c>
      <c r="L83" s="63">
        <v>2.9</v>
      </c>
      <c r="M83" s="63">
        <v>3</v>
      </c>
      <c r="N83" s="63">
        <v>3.1</v>
      </c>
      <c r="O83" s="63">
        <v>3.2</v>
      </c>
      <c r="P83" s="63">
        <v>3.3</v>
      </c>
      <c r="Q83" s="63">
        <v>3.4</v>
      </c>
      <c r="R83" s="63">
        <v>3.5</v>
      </c>
      <c r="W83" s="152"/>
    </row>
    <row r="84" spans="2:23">
      <c r="B84" s="64" t="s">
        <v>3</v>
      </c>
      <c r="C84" s="65">
        <v>95.525999999999996</v>
      </c>
      <c r="D84" s="65">
        <v>98.387999999999991</v>
      </c>
      <c r="E84" s="65">
        <v>101.268</v>
      </c>
      <c r="F84" s="65">
        <v>104.13000000000001</v>
      </c>
      <c r="G84" s="65">
        <v>107.01</v>
      </c>
      <c r="H84" s="65">
        <v>109.872</v>
      </c>
      <c r="I84" s="65">
        <v>112.75200000000001</v>
      </c>
      <c r="J84" s="65">
        <v>117.702</v>
      </c>
      <c r="K84" s="65">
        <v>120.58199999999999</v>
      </c>
      <c r="L84" s="65">
        <v>123.444</v>
      </c>
      <c r="M84" s="65">
        <v>126.32400000000001</v>
      </c>
      <c r="N84" s="65">
        <v>129.18600000000001</v>
      </c>
      <c r="O84" s="65">
        <v>132.066</v>
      </c>
      <c r="P84" s="65">
        <v>137.01600000000002</v>
      </c>
      <c r="Q84" s="65">
        <v>139.87799999999999</v>
      </c>
      <c r="R84" s="65">
        <v>142.75800000000001</v>
      </c>
    </row>
    <row r="85" spans="2:23">
      <c r="B85" s="64" t="s">
        <v>4</v>
      </c>
      <c r="C85" s="65">
        <f>C84*$K$9</f>
        <v>171.9468</v>
      </c>
      <c r="D85" s="65">
        <f t="shared" ref="D85:R85" si="13">D84*$K$9</f>
        <v>177.0984</v>
      </c>
      <c r="E85" s="65">
        <f t="shared" si="13"/>
        <v>182.2824</v>
      </c>
      <c r="F85" s="65">
        <f t="shared" si="13"/>
        <v>187.43400000000003</v>
      </c>
      <c r="G85" s="65">
        <f t="shared" si="13"/>
        <v>192.61800000000002</v>
      </c>
      <c r="H85" s="65">
        <f t="shared" si="13"/>
        <v>197.7696</v>
      </c>
      <c r="I85" s="65">
        <f t="shared" si="13"/>
        <v>202.95360000000002</v>
      </c>
      <c r="J85" s="65">
        <f t="shared" si="13"/>
        <v>211.86359999999999</v>
      </c>
      <c r="K85" s="65">
        <f t="shared" si="13"/>
        <v>217.04759999999999</v>
      </c>
      <c r="L85" s="65">
        <f t="shared" si="13"/>
        <v>222.19920000000002</v>
      </c>
      <c r="M85" s="65">
        <f t="shared" si="13"/>
        <v>227.38320000000002</v>
      </c>
      <c r="N85" s="65">
        <f t="shared" si="13"/>
        <v>232.53480000000002</v>
      </c>
      <c r="O85" s="65">
        <f t="shared" si="13"/>
        <v>237.71880000000002</v>
      </c>
      <c r="P85" s="65">
        <f t="shared" si="13"/>
        <v>246.62880000000004</v>
      </c>
      <c r="Q85" s="65">
        <f t="shared" si="13"/>
        <v>251.78039999999999</v>
      </c>
      <c r="R85" s="65">
        <f t="shared" si="13"/>
        <v>256.96440000000001</v>
      </c>
    </row>
    <row r="87" spans="2:23">
      <c r="B87" s="44" t="s">
        <v>263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S87" s="139"/>
      <c r="T87" s="139"/>
    </row>
    <row r="88" spans="2:23">
      <c r="B88" s="62" t="s">
        <v>2</v>
      </c>
      <c r="C88" s="63">
        <v>1.5</v>
      </c>
      <c r="D88" s="63">
        <v>1.6</v>
      </c>
      <c r="E88" s="63">
        <v>1.7</v>
      </c>
      <c r="F88" s="63">
        <v>1.8</v>
      </c>
      <c r="G88" s="63">
        <v>1.9</v>
      </c>
      <c r="H88" s="63">
        <v>2</v>
      </c>
      <c r="I88" s="63">
        <v>2.1</v>
      </c>
      <c r="J88" s="63">
        <v>2.2000000000000002</v>
      </c>
      <c r="K88" s="63">
        <v>2.2999999999999998</v>
      </c>
      <c r="L88" s="63">
        <v>2.4</v>
      </c>
      <c r="M88" s="63">
        <v>2.5</v>
      </c>
      <c r="N88" s="63">
        <v>2.6</v>
      </c>
      <c r="O88" s="63">
        <v>2.7</v>
      </c>
      <c r="P88" s="63">
        <v>2.8</v>
      </c>
      <c r="Q88" s="63">
        <v>2.9</v>
      </c>
      <c r="R88" s="63">
        <v>3</v>
      </c>
      <c r="S88" s="63">
        <v>3.1</v>
      </c>
      <c r="T88" s="63">
        <v>3.2</v>
      </c>
      <c r="U88" s="63">
        <v>3.3</v>
      </c>
      <c r="V88" s="63">
        <v>3.4</v>
      </c>
      <c r="W88" s="63">
        <v>3.5</v>
      </c>
    </row>
    <row r="89" spans="2:23">
      <c r="B89" s="64" t="s">
        <v>3</v>
      </c>
      <c r="C89" s="65">
        <v>11.34</v>
      </c>
      <c r="D89" s="65">
        <v>11.844000000000001</v>
      </c>
      <c r="E89" s="65">
        <v>12.348000000000001</v>
      </c>
      <c r="F89" s="65">
        <v>12.852</v>
      </c>
      <c r="G89" s="65">
        <v>13.356</v>
      </c>
      <c r="H89" s="65">
        <v>13.860000000000001</v>
      </c>
      <c r="I89" s="65">
        <v>14.364000000000001</v>
      </c>
      <c r="J89" s="65">
        <v>14.868</v>
      </c>
      <c r="K89" s="65">
        <v>15.371999999999998</v>
      </c>
      <c r="L89" s="65">
        <v>15.876000000000001</v>
      </c>
      <c r="M89" s="65">
        <v>16.38</v>
      </c>
      <c r="N89" s="65">
        <v>16.884</v>
      </c>
      <c r="O89" s="65">
        <v>17.388000000000002</v>
      </c>
      <c r="P89" s="65">
        <v>17.891999999999999</v>
      </c>
      <c r="Q89" s="65">
        <v>18.396000000000001</v>
      </c>
      <c r="R89" s="65">
        <v>18.900000000000002</v>
      </c>
      <c r="S89" s="65">
        <v>19.404</v>
      </c>
      <c r="T89" s="65">
        <v>19.908000000000001</v>
      </c>
      <c r="U89" s="65">
        <v>20.411999999999999</v>
      </c>
      <c r="V89" s="65">
        <v>20.916</v>
      </c>
      <c r="W89" s="65">
        <v>21.42</v>
      </c>
    </row>
    <row r="90" spans="2:23">
      <c r="B90" s="64" t="s">
        <v>4</v>
      </c>
      <c r="C90" s="65">
        <f>C89*$K$9</f>
        <v>20.411999999999999</v>
      </c>
      <c r="D90" s="65">
        <f t="shared" ref="D90:W90" si="14">D89*$K$9</f>
        <v>21.319200000000002</v>
      </c>
      <c r="E90" s="65">
        <f t="shared" si="14"/>
        <v>22.226400000000002</v>
      </c>
      <c r="F90" s="65">
        <f t="shared" si="14"/>
        <v>23.133600000000001</v>
      </c>
      <c r="G90" s="65">
        <f t="shared" si="14"/>
        <v>24.040800000000001</v>
      </c>
      <c r="H90" s="65">
        <f t="shared" si="14"/>
        <v>24.948000000000004</v>
      </c>
      <c r="I90" s="65">
        <f t="shared" si="14"/>
        <v>25.855200000000004</v>
      </c>
      <c r="J90" s="65">
        <f t="shared" si="14"/>
        <v>26.7624</v>
      </c>
      <c r="K90" s="65">
        <f t="shared" si="14"/>
        <v>27.669599999999996</v>
      </c>
      <c r="L90" s="65">
        <f t="shared" si="14"/>
        <v>28.576800000000002</v>
      </c>
      <c r="M90" s="65">
        <f t="shared" si="14"/>
        <v>29.483999999999998</v>
      </c>
      <c r="N90" s="65">
        <f t="shared" si="14"/>
        <v>30.391200000000001</v>
      </c>
      <c r="O90" s="65">
        <f t="shared" si="14"/>
        <v>31.298400000000004</v>
      </c>
      <c r="P90" s="65">
        <f t="shared" si="14"/>
        <v>32.205599999999997</v>
      </c>
      <c r="Q90" s="65">
        <f t="shared" si="14"/>
        <v>33.1128</v>
      </c>
      <c r="R90" s="65">
        <f t="shared" si="14"/>
        <v>34.020000000000003</v>
      </c>
      <c r="S90" s="65">
        <f t="shared" si="14"/>
        <v>34.927199999999999</v>
      </c>
      <c r="T90" s="65">
        <f t="shared" si="14"/>
        <v>35.834400000000002</v>
      </c>
      <c r="U90" s="65">
        <f t="shared" si="14"/>
        <v>36.741599999999998</v>
      </c>
      <c r="V90" s="65">
        <f t="shared" si="14"/>
        <v>37.648800000000001</v>
      </c>
      <c r="W90" s="65">
        <f t="shared" si="14"/>
        <v>38.556000000000004</v>
      </c>
    </row>
    <row r="91" spans="2:23" ht="13.5" thickBot="1"/>
    <row r="92" spans="2:23" ht="21.75" thickBot="1">
      <c r="B92" s="70" t="s">
        <v>56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100"/>
      <c r="N92" s="100"/>
    </row>
    <row r="93" spans="2:23" ht="16.5" thickBot="1">
      <c r="B93" s="72" t="s">
        <v>112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101"/>
      <c r="N93" s="101"/>
      <c r="O93" s="74"/>
      <c r="P93" s="74"/>
      <c r="Q93" s="74"/>
      <c r="R93" s="74"/>
      <c r="S93" s="74"/>
      <c r="T93" s="74"/>
    </row>
    <row r="94" spans="2:23" ht="16.5" thickBot="1">
      <c r="B94" s="72" t="s">
        <v>113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101"/>
      <c r="N94" s="101"/>
      <c r="O94" s="74"/>
      <c r="P94" s="74"/>
      <c r="Q94" s="74"/>
      <c r="R94" s="74"/>
      <c r="S94" s="74"/>
      <c r="T94" s="74"/>
    </row>
    <row r="95" spans="2:23" ht="15" customHeight="1" thickBot="1">
      <c r="B95" s="75" t="s">
        <v>114</v>
      </c>
      <c r="U95" s="74"/>
    </row>
    <row r="96" spans="2:23" ht="15" customHeight="1" thickBot="1">
      <c r="B96" s="75" t="s">
        <v>250</v>
      </c>
      <c r="U96" s="39"/>
      <c r="V96" s="39"/>
      <c r="W96" s="39"/>
    </row>
    <row r="97" spans="2:27" ht="21.75" thickBot="1">
      <c r="B97" s="76" t="s">
        <v>118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7"/>
      <c r="T97" s="77"/>
      <c r="U97" s="39"/>
      <c r="V97" s="39"/>
      <c r="W97" s="39"/>
      <c r="X97" s="39"/>
    </row>
    <row r="98" spans="2:27" ht="21.75" thickBot="1">
      <c r="B98" s="76" t="s">
        <v>119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4"/>
      <c r="T98" s="74"/>
      <c r="U98" s="39"/>
      <c r="V98" s="39"/>
      <c r="W98" s="39"/>
      <c r="X98" s="39"/>
      <c r="Y98" s="39"/>
    </row>
    <row r="99" spans="2:27">
      <c r="U99" s="39"/>
      <c r="V99" s="39"/>
      <c r="W99" s="39"/>
      <c r="X99" s="39"/>
      <c r="Y99" s="39"/>
    </row>
    <row r="100" spans="2:27">
      <c r="U100" s="39"/>
      <c r="V100" s="39"/>
      <c r="W100" s="39"/>
      <c r="X100" s="39"/>
      <c r="Y100" s="39"/>
      <c r="Z100" s="39"/>
    </row>
    <row r="101" spans="2:27">
      <c r="X101" s="39"/>
      <c r="Y101" s="39"/>
      <c r="Z101" s="39"/>
      <c r="AA101" s="39"/>
    </row>
    <row r="102" spans="2:27">
      <c r="X102" s="39"/>
      <c r="Y102" s="39"/>
      <c r="Z102" s="39"/>
      <c r="AA102" s="39"/>
    </row>
    <row r="103" spans="2:27">
      <c r="X103" s="39"/>
      <c r="Y103" s="39"/>
      <c r="Z103" s="39"/>
    </row>
    <row r="104" spans="2:27">
      <c r="Y104" s="39"/>
      <c r="Z104" s="39"/>
    </row>
  </sheetData>
  <sheetProtection password="CFE4" sheet="1" objects="1" scenarios="1"/>
  <mergeCells count="154">
    <mergeCell ref="AA18:AF18"/>
    <mergeCell ref="AA22:AF22"/>
    <mergeCell ref="B60:B61"/>
    <mergeCell ref="B62:B63"/>
    <mergeCell ref="B64:B65"/>
    <mergeCell ref="B66:B67"/>
    <mergeCell ref="B68:B69"/>
    <mergeCell ref="C49:E49"/>
    <mergeCell ref="F49:H49"/>
    <mergeCell ref="I49:K49"/>
    <mergeCell ref="B54:B55"/>
    <mergeCell ref="B56:B57"/>
    <mergeCell ref="B58:B59"/>
    <mergeCell ref="C47:E47"/>
    <mergeCell ref="F47:H47"/>
    <mergeCell ref="I47:K47"/>
    <mergeCell ref="C48:E48"/>
    <mergeCell ref="F48:H48"/>
    <mergeCell ref="I48:K48"/>
    <mergeCell ref="C45:E45"/>
    <mergeCell ref="F45:H45"/>
    <mergeCell ref="I45:K45"/>
    <mergeCell ref="C46:E46"/>
    <mergeCell ref="F46:H46"/>
    <mergeCell ref="U33:W33"/>
    <mergeCell ref="I46:K46"/>
    <mergeCell ref="R37:S38"/>
    <mergeCell ref="B39:B40"/>
    <mergeCell ref="C39:E40"/>
    <mergeCell ref="F39:I40"/>
    <mergeCell ref="J39:K40"/>
    <mergeCell ref="L39:O40"/>
    <mergeCell ref="P39:Q40"/>
    <mergeCell ref="R39:S40"/>
    <mergeCell ref="B37:B38"/>
    <mergeCell ref="C37:E38"/>
    <mergeCell ref="F37:I38"/>
    <mergeCell ref="J37:K38"/>
    <mergeCell ref="L37:O38"/>
    <mergeCell ref="P37:Q38"/>
    <mergeCell ref="B31:B32"/>
    <mergeCell ref="C31:E32"/>
    <mergeCell ref="F31:I32"/>
    <mergeCell ref="J31:K32"/>
    <mergeCell ref="L31:O32"/>
    <mergeCell ref="P31:Q32"/>
    <mergeCell ref="R31:S32"/>
    <mergeCell ref="U34:W34"/>
    <mergeCell ref="B35:B36"/>
    <mergeCell ref="C35:E36"/>
    <mergeCell ref="F35:I36"/>
    <mergeCell ref="J35:K36"/>
    <mergeCell ref="L35:O36"/>
    <mergeCell ref="P35:Q36"/>
    <mergeCell ref="R35:S36"/>
    <mergeCell ref="U31:W31"/>
    <mergeCell ref="U32:W32"/>
    <mergeCell ref="B33:B34"/>
    <mergeCell ref="C33:E34"/>
    <mergeCell ref="F33:I34"/>
    <mergeCell ref="J33:K34"/>
    <mergeCell ref="L33:O34"/>
    <mergeCell ref="P33:Q34"/>
    <mergeCell ref="R33:S34"/>
    <mergeCell ref="B29:B30"/>
    <mergeCell ref="C29:E30"/>
    <mergeCell ref="F29:I30"/>
    <mergeCell ref="J29:K30"/>
    <mergeCell ref="L29:O30"/>
    <mergeCell ref="P29:Q30"/>
    <mergeCell ref="R29:S30"/>
    <mergeCell ref="U29:W29"/>
    <mergeCell ref="U30:W30"/>
    <mergeCell ref="B24:B25"/>
    <mergeCell ref="C24:E25"/>
    <mergeCell ref="F24:I25"/>
    <mergeCell ref="J24:K25"/>
    <mergeCell ref="L24:O25"/>
    <mergeCell ref="P24:Q25"/>
    <mergeCell ref="R24:S25"/>
    <mergeCell ref="Y24:Z24"/>
    <mergeCell ref="B26:B28"/>
    <mergeCell ref="C26:E28"/>
    <mergeCell ref="F26:I28"/>
    <mergeCell ref="J26:K28"/>
    <mergeCell ref="L26:O28"/>
    <mergeCell ref="P26:Q28"/>
    <mergeCell ref="R26:S28"/>
    <mergeCell ref="U26:W27"/>
    <mergeCell ref="X26:Y26"/>
    <mergeCell ref="Z26:AA26"/>
    <mergeCell ref="U28:W28"/>
    <mergeCell ref="B22:B23"/>
    <mergeCell ref="C22:E23"/>
    <mergeCell ref="F22:I23"/>
    <mergeCell ref="J22:K23"/>
    <mergeCell ref="L22:O23"/>
    <mergeCell ref="P22:Q23"/>
    <mergeCell ref="R22:S23"/>
    <mergeCell ref="U22:V22"/>
    <mergeCell ref="Y22:Z22"/>
    <mergeCell ref="Y23:Z23"/>
    <mergeCell ref="R17:S18"/>
    <mergeCell ref="U17:W17"/>
    <mergeCell ref="U18:W18"/>
    <mergeCell ref="Y18:Z18"/>
    <mergeCell ref="B19:B21"/>
    <mergeCell ref="C19:E21"/>
    <mergeCell ref="F19:I21"/>
    <mergeCell ref="J19:K21"/>
    <mergeCell ref="L19:O21"/>
    <mergeCell ref="P19:Q21"/>
    <mergeCell ref="B17:B18"/>
    <mergeCell ref="C17:E18"/>
    <mergeCell ref="F17:I18"/>
    <mergeCell ref="J17:K18"/>
    <mergeCell ref="L17:O18"/>
    <mergeCell ref="P17:Q18"/>
    <mergeCell ref="R19:S21"/>
    <mergeCell ref="U19:V19"/>
    <mergeCell ref="Y19:Z21"/>
    <mergeCell ref="U20:V20"/>
    <mergeCell ref="U21:V21"/>
    <mergeCell ref="P15:Q16"/>
    <mergeCell ref="R15:S16"/>
    <mergeCell ref="U15:W15"/>
    <mergeCell ref="Y15:Z15"/>
    <mergeCell ref="U16:W16"/>
    <mergeCell ref="Y16:Z16"/>
    <mergeCell ref="R13:S14"/>
    <mergeCell ref="U13:W13"/>
    <mergeCell ref="Y13:Z13"/>
    <mergeCell ref="U14:W14"/>
    <mergeCell ref="Y14:Z14"/>
    <mergeCell ref="P13:Q14"/>
    <mergeCell ref="B15:B16"/>
    <mergeCell ref="C15:E16"/>
    <mergeCell ref="F15:I16"/>
    <mergeCell ref="J15:K16"/>
    <mergeCell ref="L15:O16"/>
    <mergeCell ref="B13:B14"/>
    <mergeCell ref="C13:E14"/>
    <mergeCell ref="F13:I14"/>
    <mergeCell ref="J13:K14"/>
    <mergeCell ref="L13:O14"/>
    <mergeCell ref="U4:AG4"/>
    <mergeCell ref="U5:AG5"/>
    <mergeCell ref="C12:E12"/>
    <mergeCell ref="F12:I12"/>
    <mergeCell ref="J12:K12"/>
    <mergeCell ref="L12:O12"/>
    <mergeCell ref="P12:Q12"/>
    <mergeCell ref="R12:S12"/>
    <mergeCell ref="U12:W12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23</xdr:col>
                    <xdr:colOff>142875</xdr:colOff>
                    <xdr:row>21</xdr:row>
                    <xdr:rowOff>114300</xdr:rowOff>
                  </from>
                  <to>
                    <xdr:col>24</xdr:col>
                    <xdr:colOff>180975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23</xdr:col>
                    <xdr:colOff>142875</xdr:colOff>
                    <xdr:row>18</xdr:row>
                    <xdr:rowOff>9525</xdr:rowOff>
                  </from>
                  <to>
                    <xdr:col>24</xdr:col>
                    <xdr:colOff>142875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23</xdr:col>
                    <xdr:colOff>142875</xdr:colOff>
                    <xdr:row>19</xdr:row>
                    <xdr:rowOff>9525</xdr:rowOff>
                  </from>
                  <to>
                    <xdr:col>24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23</xdr:col>
                    <xdr:colOff>142875</xdr:colOff>
                    <xdr:row>20</xdr:row>
                    <xdr:rowOff>9525</xdr:rowOff>
                  </from>
                  <to>
                    <xdr:col>24</xdr:col>
                    <xdr:colOff>123825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ВЖ</vt:lpstr>
      <vt:lpstr>РОЛЛО</vt:lpstr>
      <vt:lpstr>ЗЕБРА</vt:lpstr>
      <vt:lpstr>РИМСКИЕ</vt:lpstr>
      <vt:lpstr>ЯПОНСКИЕ</vt:lpstr>
    </vt:vector>
  </TitlesOfParts>
  <Company>Gosta-S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Gosta-S</dc:creator>
  <cp:lastModifiedBy>G.Diller</cp:lastModifiedBy>
  <cp:lastPrinted>2018-10-03T09:58:55Z</cp:lastPrinted>
  <dcterms:created xsi:type="dcterms:W3CDTF">2018-08-03T13:25:52Z</dcterms:created>
  <dcterms:modified xsi:type="dcterms:W3CDTF">2019-02-13T15:14:10Z</dcterms:modified>
</cp:coreProperties>
</file>